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13_ncr:1_{B0C6E26A-54AC-4FD9-B899-ABEEB763C43E}" xr6:coauthVersionLast="47" xr6:coauthVersionMax="47" xr10:uidLastSave="{00000000-0000-0000-0000-000000000000}"/>
  <bookViews>
    <workbookView xWindow="-120" yWindow="-120" windowWidth="29040" windowHeight="15840" tabRatio="735" firstSheet="2" activeTab="2" xr2:uid="{00000000-000D-0000-FFFF-FFFF00000000}"/>
  </bookViews>
  <sheets>
    <sheet name="Thu nội địa" sheetId="1" state="hidden" r:id="rId1"/>
    <sheet name="Tong hop phan cong" sheetId="15" state="hidden" r:id="rId2"/>
    <sheet name="Bieu 48_Xong" sheetId="4" r:id="rId3"/>
    <sheet name="Bieu 50" sheetId="5" r:id="rId4"/>
    <sheet name="Bieu 51_Xong" sheetId="6" r:id="rId5"/>
    <sheet name="bieu 52_Xong" sheetId="7" r:id="rId6"/>
    <sheet name="bieu 53_Xong" sheetId="24" r:id="rId7"/>
    <sheet name="Bieu 54_Xong" sheetId="18" r:id="rId8"/>
    <sheet name="Bieu 54" sheetId="13" state="hidden" r:id="rId9"/>
    <sheet name="Bieu 58_Xong" sheetId="21" r:id="rId10"/>
    <sheet name="Bieu 59_Xong" sheetId="22" r:id="rId11"/>
    <sheet name="Bieu 61_Xong" sheetId="25" r:id="rId12"/>
    <sheet name="Biêu 63_xong" sheetId="26" r:id="rId13"/>
    <sheet name="Biêu 64-xong" sheetId="27" r:id="rId14"/>
    <sheet name="Bieu 61_Hien vo" sheetId="23" state="hidden" r:id="rId15"/>
  </sheets>
  <definedNames>
    <definedName name="_________a1" localSheetId="6" hidden="1">{"'Sheet1'!$L$16"}</definedName>
    <definedName name="_________a1" localSheetId="7" hidden="1">{"'Sheet1'!$L$16"}</definedName>
    <definedName name="_________a1" localSheetId="9" hidden="1">{"'Sheet1'!$L$16"}</definedName>
    <definedName name="_________a1" localSheetId="10" hidden="1">{"'Sheet1'!$L$16"}</definedName>
    <definedName name="_________a1" localSheetId="14" hidden="1">{"'Sheet1'!$L$16"}</definedName>
    <definedName name="_________a1" localSheetId="11" hidden="1">{"'Sheet1'!$L$16"}</definedName>
    <definedName name="_________a1" localSheetId="12" hidden="1">{"'Sheet1'!$L$16"}</definedName>
    <definedName name="_________a1" localSheetId="13" hidden="1">{"'Sheet1'!$L$16"}</definedName>
    <definedName name="_________a1" hidden="1">{"'Sheet1'!$L$16"}</definedName>
    <definedName name="_________PA3" localSheetId="6" hidden="1">{"'Sheet1'!$L$16"}</definedName>
    <definedName name="_________PA3" localSheetId="7" hidden="1">{"'Sheet1'!$L$16"}</definedName>
    <definedName name="_________PA3" localSheetId="9" hidden="1">{"'Sheet1'!$L$16"}</definedName>
    <definedName name="_________PA3" localSheetId="10" hidden="1">{"'Sheet1'!$L$16"}</definedName>
    <definedName name="_________PA3" localSheetId="14" hidden="1">{"'Sheet1'!$L$16"}</definedName>
    <definedName name="_________PA3" localSheetId="11" hidden="1">{"'Sheet1'!$L$16"}</definedName>
    <definedName name="_________PA3" localSheetId="12" hidden="1">{"'Sheet1'!$L$16"}</definedName>
    <definedName name="_________PA3" localSheetId="13" hidden="1">{"'Sheet1'!$L$16"}</definedName>
    <definedName name="_________PA3" hidden="1">{"'Sheet1'!$L$16"}</definedName>
    <definedName name="_______a1" localSheetId="6" hidden="1">{"'Sheet1'!$L$16"}</definedName>
    <definedName name="_______a1" localSheetId="7" hidden="1">{"'Sheet1'!$L$16"}</definedName>
    <definedName name="_______a1" localSheetId="9" hidden="1">{"'Sheet1'!$L$16"}</definedName>
    <definedName name="_______a1" localSheetId="10" hidden="1">{"'Sheet1'!$L$16"}</definedName>
    <definedName name="_______a1" localSheetId="14" hidden="1">{"'Sheet1'!$L$16"}</definedName>
    <definedName name="_______a1" localSheetId="11" hidden="1">{"'Sheet1'!$L$16"}</definedName>
    <definedName name="_______a1" localSheetId="12" hidden="1">{"'Sheet1'!$L$16"}</definedName>
    <definedName name="_______a1" localSheetId="13" hidden="1">{"'Sheet1'!$L$16"}</definedName>
    <definedName name="_______a1" hidden="1">{"'Sheet1'!$L$16"}</definedName>
    <definedName name="_______PA3" localSheetId="6" hidden="1">{"'Sheet1'!$L$16"}</definedName>
    <definedName name="_______PA3" localSheetId="7" hidden="1">{"'Sheet1'!$L$16"}</definedName>
    <definedName name="_______PA3" localSheetId="9" hidden="1">{"'Sheet1'!$L$16"}</definedName>
    <definedName name="_______PA3" localSheetId="10" hidden="1">{"'Sheet1'!$L$16"}</definedName>
    <definedName name="_______PA3" localSheetId="14" hidden="1">{"'Sheet1'!$L$16"}</definedName>
    <definedName name="_______PA3" localSheetId="11" hidden="1">{"'Sheet1'!$L$16"}</definedName>
    <definedName name="_______PA3" localSheetId="12" hidden="1">{"'Sheet1'!$L$16"}</definedName>
    <definedName name="_______PA3" localSheetId="13" hidden="1">{"'Sheet1'!$L$16"}</definedName>
    <definedName name="_______PA3" hidden="1">{"'Sheet1'!$L$16"}</definedName>
    <definedName name="______a1" localSheetId="6" hidden="1">{"'Sheet1'!$L$16"}</definedName>
    <definedName name="______a1" localSheetId="7" hidden="1">{"'Sheet1'!$L$16"}</definedName>
    <definedName name="______a1" localSheetId="9" hidden="1">{"'Sheet1'!$L$16"}</definedName>
    <definedName name="______a1" localSheetId="10" hidden="1">{"'Sheet1'!$L$16"}</definedName>
    <definedName name="______a1" localSheetId="14" hidden="1">{"'Sheet1'!$L$16"}</definedName>
    <definedName name="______a1" localSheetId="11" hidden="1">{"'Sheet1'!$L$16"}</definedName>
    <definedName name="______a1" localSheetId="12" hidden="1">{"'Sheet1'!$L$16"}</definedName>
    <definedName name="______a1" localSheetId="13" hidden="1">{"'Sheet1'!$L$16"}</definedName>
    <definedName name="______a1" hidden="1">{"'Sheet1'!$L$16"}</definedName>
    <definedName name="______h1" localSheetId="6" hidden="1">{"'Sheet1'!$L$16"}</definedName>
    <definedName name="______h1" localSheetId="7" hidden="1">{"'Sheet1'!$L$16"}</definedName>
    <definedName name="______h1" localSheetId="9" hidden="1">{"'Sheet1'!$L$16"}</definedName>
    <definedName name="______h1" localSheetId="10" hidden="1">{"'Sheet1'!$L$16"}</definedName>
    <definedName name="______h1" localSheetId="14" hidden="1">{"'Sheet1'!$L$16"}</definedName>
    <definedName name="______h1" localSheetId="11" hidden="1">{"'Sheet1'!$L$16"}</definedName>
    <definedName name="______h1" localSheetId="12" hidden="1">{"'Sheet1'!$L$16"}</definedName>
    <definedName name="______h1" localSheetId="13" hidden="1">{"'Sheet1'!$L$16"}</definedName>
    <definedName name="______h1" hidden="1">{"'Sheet1'!$L$16"}</definedName>
    <definedName name="______h10" localSheetId="6" hidden="1">{#N/A,#N/A,FALSE,"Chi tiÆt"}</definedName>
    <definedName name="______h10" localSheetId="7" hidden="1">{#N/A,#N/A,FALSE,"Chi tiÆt"}</definedName>
    <definedName name="______h10" localSheetId="9" hidden="1">{#N/A,#N/A,FALSE,"Chi tiÆt"}</definedName>
    <definedName name="______h10" localSheetId="10" hidden="1">{#N/A,#N/A,FALSE,"Chi tiÆt"}</definedName>
    <definedName name="______h10" localSheetId="14" hidden="1">{#N/A,#N/A,FALSE,"Chi tiÆt"}</definedName>
    <definedName name="______h10" localSheetId="11" hidden="1">{#N/A,#N/A,FALSE,"Chi tiÆt"}</definedName>
    <definedName name="______h10" localSheetId="12" hidden="1">{#N/A,#N/A,FALSE,"Chi tiÆt"}</definedName>
    <definedName name="______h10" localSheetId="13" hidden="1">{#N/A,#N/A,FALSE,"Chi tiÆt"}</definedName>
    <definedName name="______h10" hidden="1">{#N/A,#N/A,FALSE,"Chi tiÆt"}</definedName>
    <definedName name="______h2" localSheetId="6" hidden="1">{"'Sheet1'!$L$16"}</definedName>
    <definedName name="______h2" localSheetId="7" hidden="1">{"'Sheet1'!$L$16"}</definedName>
    <definedName name="______h2" localSheetId="9" hidden="1">{"'Sheet1'!$L$16"}</definedName>
    <definedName name="______h2" localSheetId="10" hidden="1">{"'Sheet1'!$L$16"}</definedName>
    <definedName name="______h2" localSheetId="14" hidden="1">{"'Sheet1'!$L$16"}</definedName>
    <definedName name="______h2" localSheetId="11" hidden="1">{"'Sheet1'!$L$16"}</definedName>
    <definedName name="______h2" localSheetId="12" hidden="1">{"'Sheet1'!$L$16"}</definedName>
    <definedName name="______h2" localSheetId="13" hidden="1">{"'Sheet1'!$L$16"}</definedName>
    <definedName name="______h2" hidden="1">{"'Sheet1'!$L$16"}</definedName>
    <definedName name="______h3" localSheetId="6" hidden="1">{"'Sheet1'!$L$16"}</definedName>
    <definedName name="______h3" localSheetId="7" hidden="1">{"'Sheet1'!$L$16"}</definedName>
    <definedName name="______h3" localSheetId="9" hidden="1">{"'Sheet1'!$L$16"}</definedName>
    <definedName name="______h3" localSheetId="10" hidden="1">{"'Sheet1'!$L$16"}</definedName>
    <definedName name="______h3" localSheetId="14" hidden="1">{"'Sheet1'!$L$16"}</definedName>
    <definedName name="______h3" localSheetId="11" hidden="1">{"'Sheet1'!$L$16"}</definedName>
    <definedName name="______h3" localSheetId="12" hidden="1">{"'Sheet1'!$L$16"}</definedName>
    <definedName name="______h3" localSheetId="13" hidden="1">{"'Sheet1'!$L$16"}</definedName>
    <definedName name="______h3" hidden="1">{"'Sheet1'!$L$16"}</definedName>
    <definedName name="______h5" localSheetId="6" hidden="1">{"'Sheet1'!$L$16"}</definedName>
    <definedName name="______h5" localSheetId="7" hidden="1">{"'Sheet1'!$L$16"}</definedName>
    <definedName name="______h5" localSheetId="9" hidden="1">{"'Sheet1'!$L$16"}</definedName>
    <definedName name="______h5" localSheetId="10" hidden="1">{"'Sheet1'!$L$16"}</definedName>
    <definedName name="______h5" localSheetId="14" hidden="1">{"'Sheet1'!$L$16"}</definedName>
    <definedName name="______h5" localSheetId="11" hidden="1">{"'Sheet1'!$L$16"}</definedName>
    <definedName name="______h5" localSheetId="12" hidden="1">{"'Sheet1'!$L$16"}</definedName>
    <definedName name="______h5" localSheetId="13" hidden="1">{"'Sheet1'!$L$16"}</definedName>
    <definedName name="______h5" hidden="1">{"'Sheet1'!$L$16"}</definedName>
    <definedName name="______h6" localSheetId="6" hidden="1">{"'Sheet1'!$L$16"}</definedName>
    <definedName name="______h6" localSheetId="7" hidden="1">{"'Sheet1'!$L$16"}</definedName>
    <definedName name="______h6" localSheetId="9" hidden="1">{"'Sheet1'!$L$16"}</definedName>
    <definedName name="______h6" localSheetId="10" hidden="1">{"'Sheet1'!$L$16"}</definedName>
    <definedName name="______h6" localSheetId="14" hidden="1">{"'Sheet1'!$L$16"}</definedName>
    <definedName name="______h6" localSheetId="11" hidden="1">{"'Sheet1'!$L$16"}</definedName>
    <definedName name="______h6" localSheetId="12" hidden="1">{"'Sheet1'!$L$16"}</definedName>
    <definedName name="______h6" localSheetId="13" hidden="1">{"'Sheet1'!$L$16"}</definedName>
    <definedName name="______h6" hidden="1">{"'Sheet1'!$L$16"}</definedName>
    <definedName name="______h7" localSheetId="6" hidden="1">{"'Sheet1'!$L$16"}</definedName>
    <definedName name="______h7" localSheetId="7" hidden="1">{"'Sheet1'!$L$16"}</definedName>
    <definedName name="______h7" localSheetId="9" hidden="1">{"'Sheet1'!$L$16"}</definedName>
    <definedName name="______h7" localSheetId="10" hidden="1">{"'Sheet1'!$L$16"}</definedName>
    <definedName name="______h7" localSheetId="14" hidden="1">{"'Sheet1'!$L$16"}</definedName>
    <definedName name="______h7" localSheetId="11" hidden="1">{"'Sheet1'!$L$16"}</definedName>
    <definedName name="______h7" localSheetId="12" hidden="1">{"'Sheet1'!$L$16"}</definedName>
    <definedName name="______h7" localSheetId="13" hidden="1">{"'Sheet1'!$L$16"}</definedName>
    <definedName name="______h7" hidden="1">{"'Sheet1'!$L$16"}</definedName>
    <definedName name="______h8" localSheetId="6" hidden="1">{"'Sheet1'!$L$16"}</definedName>
    <definedName name="______h8" localSheetId="7" hidden="1">{"'Sheet1'!$L$16"}</definedName>
    <definedName name="______h8" localSheetId="9" hidden="1">{"'Sheet1'!$L$16"}</definedName>
    <definedName name="______h8" localSheetId="10" hidden="1">{"'Sheet1'!$L$16"}</definedName>
    <definedName name="______h8" localSheetId="14" hidden="1">{"'Sheet1'!$L$16"}</definedName>
    <definedName name="______h8" localSheetId="11" hidden="1">{"'Sheet1'!$L$16"}</definedName>
    <definedName name="______h8" localSheetId="12" hidden="1">{"'Sheet1'!$L$16"}</definedName>
    <definedName name="______h8" localSheetId="13" hidden="1">{"'Sheet1'!$L$16"}</definedName>
    <definedName name="______h8" hidden="1">{"'Sheet1'!$L$16"}</definedName>
    <definedName name="______h9" localSheetId="6" hidden="1">{"'Sheet1'!$L$16"}</definedName>
    <definedName name="______h9" localSheetId="7" hidden="1">{"'Sheet1'!$L$16"}</definedName>
    <definedName name="______h9" localSheetId="9" hidden="1">{"'Sheet1'!$L$16"}</definedName>
    <definedName name="______h9" localSheetId="10" hidden="1">{"'Sheet1'!$L$16"}</definedName>
    <definedName name="______h9" localSheetId="14" hidden="1">{"'Sheet1'!$L$16"}</definedName>
    <definedName name="______h9" localSheetId="11" hidden="1">{"'Sheet1'!$L$16"}</definedName>
    <definedName name="______h9" localSheetId="12" hidden="1">{"'Sheet1'!$L$16"}</definedName>
    <definedName name="______h9" localSheetId="13" hidden="1">{"'Sheet1'!$L$16"}</definedName>
    <definedName name="______h9" hidden="1">{"'Sheet1'!$L$16"}</definedName>
    <definedName name="______NSO2" localSheetId="6" hidden="1">{"'Sheet1'!$L$16"}</definedName>
    <definedName name="______NSO2" localSheetId="7" hidden="1">{"'Sheet1'!$L$16"}</definedName>
    <definedName name="______NSO2" localSheetId="9" hidden="1">{"'Sheet1'!$L$16"}</definedName>
    <definedName name="______NSO2" localSheetId="10" hidden="1">{"'Sheet1'!$L$16"}</definedName>
    <definedName name="______NSO2" localSheetId="14" hidden="1">{"'Sheet1'!$L$16"}</definedName>
    <definedName name="______NSO2" localSheetId="11" hidden="1">{"'Sheet1'!$L$16"}</definedName>
    <definedName name="______NSO2" localSheetId="12" hidden="1">{"'Sheet1'!$L$16"}</definedName>
    <definedName name="______NSO2" localSheetId="13" hidden="1">{"'Sheet1'!$L$16"}</definedName>
    <definedName name="______NSO2" hidden="1">{"'Sheet1'!$L$16"}</definedName>
    <definedName name="______PA3" localSheetId="6" hidden="1">{"'Sheet1'!$L$16"}</definedName>
    <definedName name="______PA3" localSheetId="7" hidden="1">{"'Sheet1'!$L$16"}</definedName>
    <definedName name="______PA3" localSheetId="9" hidden="1">{"'Sheet1'!$L$16"}</definedName>
    <definedName name="______PA3" localSheetId="10" hidden="1">{"'Sheet1'!$L$16"}</definedName>
    <definedName name="______PA3" localSheetId="14" hidden="1">{"'Sheet1'!$L$16"}</definedName>
    <definedName name="______PA3" localSheetId="11" hidden="1">{"'Sheet1'!$L$16"}</definedName>
    <definedName name="______PA3" localSheetId="12" hidden="1">{"'Sheet1'!$L$16"}</definedName>
    <definedName name="______PA3" localSheetId="13" hidden="1">{"'Sheet1'!$L$16"}</definedName>
    <definedName name="______PA3" hidden="1">{"'Sheet1'!$L$16"}</definedName>
    <definedName name="______vl2" localSheetId="6" hidden="1">{"'Sheet1'!$L$16"}</definedName>
    <definedName name="______vl2" localSheetId="7" hidden="1">{"'Sheet1'!$L$16"}</definedName>
    <definedName name="______vl2" localSheetId="9" hidden="1">{"'Sheet1'!$L$16"}</definedName>
    <definedName name="______vl2" localSheetId="10" hidden="1">{"'Sheet1'!$L$16"}</definedName>
    <definedName name="______vl2" localSheetId="14" hidden="1">{"'Sheet1'!$L$16"}</definedName>
    <definedName name="______vl2" localSheetId="11" hidden="1">{"'Sheet1'!$L$16"}</definedName>
    <definedName name="______vl2" localSheetId="12" hidden="1">{"'Sheet1'!$L$16"}</definedName>
    <definedName name="______vl2" localSheetId="13" hidden="1">{"'Sheet1'!$L$16"}</definedName>
    <definedName name="______vl2" hidden="1">{"'Sheet1'!$L$16"}</definedName>
    <definedName name="_____a1" localSheetId="6" hidden="1">{"'Sheet1'!$L$16"}</definedName>
    <definedName name="_____a1" localSheetId="7" hidden="1">{"'Sheet1'!$L$16"}</definedName>
    <definedName name="_____a1" localSheetId="9" hidden="1">{"'Sheet1'!$L$16"}</definedName>
    <definedName name="_____a1" localSheetId="10" hidden="1">{"'Sheet1'!$L$16"}</definedName>
    <definedName name="_____a1" localSheetId="14" hidden="1">{"'Sheet1'!$L$16"}</definedName>
    <definedName name="_____a1" localSheetId="11" hidden="1">{"'Sheet1'!$L$16"}</definedName>
    <definedName name="_____a1" localSheetId="12" hidden="1">{"'Sheet1'!$L$16"}</definedName>
    <definedName name="_____a1" localSheetId="13" hidden="1">{"'Sheet1'!$L$16"}</definedName>
    <definedName name="_____a1" hidden="1">{"'Sheet1'!$L$16"}</definedName>
    <definedName name="_____h1" localSheetId="6" hidden="1">{"'Sheet1'!$L$16"}</definedName>
    <definedName name="_____h1" localSheetId="7" hidden="1">{"'Sheet1'!$L$16"}</definedName>
    <definedName name="_____h1" localSheetId="9" hidden="1">{"'Sheet1'!$L$16"}</definedName>
    <definedName name="_____h1" localSheetId="10" hidden="1">{"'Sheet1'!$L$16"}</definedName>
    <definedName name="_____h1" localSheetId="14" hidden="1">{"'Sheet1'!$L$16"}</definedName>
    <definedName name="_____h1" localSheetId="11" hidden="1">{"'Sheet1'!$L$16"}</definedName>
    <definedName name="_____h1" localSheetId="12" hidden="1">{"'Sheet1'!$L$16"}</definedName>
    <definedName name="_____h1" localSheetId="13" hidden="1">{"'Sheet1'!$L$16"}</definedName>
    <definedName name="_____h1" hidden="1">{"'Sheet1'!$L$16"}</definedName>
    <definedName name="_____h10" localSheetId="6" hidden="1">{#N/A,#N/A,FALSE,"Chi tiÆt"}</definedName>
    <definedName name="_____h10" localSheetId="7" hidden="1">{#N/A,#N/A,FALSE,"Chi tiÆt"}</definedName>
    <definedName name="_____h10" localSheetId="9" hidden="1">{#N/A,#N/A,FALSE,"Chi tiÆt"}</definedName>
    <definedName name="_____h10" localSheetId="10" hidden="1">{#N/A,#N/A,FALSE,"Chi tiÆt"}</definedName>
    <definedName name="_____h10" localSheetId="14" hidden="1">{#N/A,#N/A,FALSE,"Chi tiÆt"}</definedName>
    <definedName name="_____h10" localSheetId="11" hidden="1">{#N/A,#N/A,FALSE,"Chi tiÆt"}</definedName>
    <definedName name="_____h10" localSheetId="12" hidden="1">{#N/A,#N/A,FALSE,"Chi tiÆt"}</definedName>
    <definedName name="_____h10" localSheetId="13" hidden="1">{#N/A,#N/A,FALSE,"Chi tiÆt"}</definedName>
    <definedName name="_____h10" hidden="1">{#N/A,#N/A,FALSE,"Chi tiÆt"}</definedName>
    <definedName name="_____h2" localSheetId="6" hidden="1">{"'Sheet1'!$L$16"}</definedName>
    <definedName name="_____h2" localSheetId="7" hidden="1">{"'Sheet1'!$L$16"}</definedName>
    <definedName name="_____h2" localSheetId="9" hidden="1">{"'Sheet1'!$L$16"}</definedName>
    <definedName name="_____h2" localSheetId="10" hidden="1">{"'Sheet1'!$L$16"}</definedName>
    <definedName name="_____h2" localSheetId="14" hidden="1">{"'Sheet1'!$L$16"}</definedName>
    <definedName name="_____h2" localSheetId="11" hidden="1">{"'Sheet1'!$L$16"}</definedName>
    <definedName name="_____h2" localSheetId="12" hidden="1">{"'Sheet1'!$L$16"}</definedName>
    <definedName name="_____h2" localSheetId="13" hidden="1">{"'Sheet1'!$L$16"}</definedName>
    <definedName name="_____h2" hidden="1">{"'Sheet1'!$L$16"}</definedName>
    <definedName name="_____h3" localSheetId="6" hidden="1">{"'Sheet1'!$L$16"}</definedName>
    <definedName name="_____h3" localSheetId="7" hidden="1">{"'Sheet1'!$L$16"}</definedName>
    <definedName name="_____h3" localSheetId="9" hidden="1">{"'Sheet1'!$L$16"}</definedName>
    <definedName name="_____h3" localSheetId="10" hidden="1">{"'Sheet1'!$L$16"}</definedName>
    <definedName name="_____h3" localSheetId="14" hidden="1">{"'Sheet1'!$L$16"}</definedName>
    <definedName name="_____h3" localSheetId="11" hidden="1">{"'Sheet1'!$L$16"}</definedName>
    <definedName name="_____h3" localSheetId="12" hidden="1">{"'Sheet1'!$L$16"}</definedName>
    <definedName name="_____h3" localSheetId="13" hidden="1">{"'Sheet1'!$L$16"}</definedName>
    <definedName name="_____h3" hidden="1">{"'Sheet1'!$L$16"}</definedName>
    <definedName name="_____h5" localSheetId="6" hidden="1">{"'Sheet1'!$L$16"}</definedName>
    <definedName name="_____h5" localSheetId="7" hidden="1">{"'Sheet1'!$L$16"}</definedName>
    <definedName name="_____h5" localSheetId="9" hidden="1">{"'Sheet1'!$L$16"}</definedName>
    <definedName name="_____h5" localSheetId="10" hidden="1">{"'Sheet1'!$L$16"}</definedName>
    <definedName name="_____h5" localSheetId="14" hidden="1">{"'Sheet1'!$L$16"}</definedName>
    <definedName name="_____h5" localSheetId="11" hidden="1">{"'Sheet1'!$L$16"}</definedName>
    <definedName name="_____h5" localSheetId="12" hidden="1">{"'Sheet1'!$L$16"}</definedName>
    <definedName name="_____h5" localSheetId="13" hidden="1">{"'Sheet1'!$L$16"}</definedName>
    <definedName name="_____h5" hidden="1">{"'Sheet1'!$L$16"}</definedName>
    <definedName name="_____h6" localSheetId="6" hidden="1">{"'Sheet1'!$L$16"}</definedName>
    <definedName name="_____h6" localSheetId="7" hidden="1">{"'Sheet1'!$L$16"}</definedName>
    <definedName name="_____h6" localSheetId="9" hidden="1">{"'Sheet1'!$L$16"}</definedName>
    <definedName name="_____h6" localSheetId="10" hidden="1">{"'Sheet1'!$L$16"}</definedName>
    <definedName name="_____h6" localSheetId="14" hidden="1">{"'Sheet1'!$L$16"}</definedName>
    <definedName name="_____h6" localSheetId="11" hidden="1">{"'Sheet1'!$L$16"}</definedName>
    <definedName name="_____h6" localSheetId="12" hidden="1">{"'Sheet1'!$L$16"}</definedName>
    <definedName name="_____h6" localSheetId="13" hidden="1">{"'Sheet1'!$L$16"}</definedName>
    <definedName name="_____h6" hidden="1">{"'Sheet1'!$L$16"}</definedName>
    <definedName name="_____h7" localSheetId="6" hidden="1">{"'Sheet1'!$L$16"}</definedName>
    <definedName name="_____h7" localSheetId="7" hidden="1">{"'Sheet1'!$L$16"}</definedName>
    <definedName name="_____h7" localSheetId="9" hidden="1">{"'Sheet1'!$L$16"}</definedName>
    <definedName name="_____h7" localSheetId="10" hidden="1">{"'Sheet1'!$L$16"}</definedName>
    <definedName name="_____h7" localSheetId="14" hidden="1">{"'Sheet1'!$L$16"}</definedName>
    <definedName name="_____h7" localSheetId="11" hidden="1">{"'Sheet1'!$L$16"}</definedName>
    <definedName name="_____h7" localSheetId="12" hidden="1">{"'Sheet1'!$L$16"}</definedName>
    <definedName name="_____h7" localSheetId="13" hidden="1">{"'Sheet1'!$L$16"}</definedName>
    <definedName name="_____h7" hidden="1">{"'Sheet1'!$L$16"}</definedName>
    <definedName name="_____h8" localSheetId="6" hidden="1">{"'Sheet1'!$L$16"}</definedName>
    <definedName name="_____h8" localSheetId="7" hidden="1">{"'Sheet1'!$L$16"}</definedName>
    <definedName name="_____h8" localSheetId="9" hidden="1">{"'Sheet1'!$L$16"}</definedName>
    <definedName name="_____h8" localSheetId="10" hidden="1">{"'Sheet1'!$L$16"}</definedName>
    <definedName name="_____h8" localSheetId="14" hidden="1">{"'Sheet1'!$L$16"}</definedName>
    <definedName name="_____h8" localSheetId="11" hidden="1">{"'Sheet1'!$L$16"}</definedName>
    <definedName name="_____h8" localSheetId="12" hidden="1">{"'Sheet1'!$L$16"}</definedName>
    <definedName name="_____h8" localSheetId="13" hidden="1">{"'Sheet1'!$L$16"}</definedName>
    <definedName name="_____h8" hidden="1">{"'Sheet1'!$L$16"}</definedName>
    <definedName name="_____h9" localSheetId="6" hidden="1">{"'Sheet1'!$L$16"}</definedName>
    <definedName name="_____h9" localSheetId="7" hidden="1">{"'Sheet1'!$L$16"}</definedName>
    <definedName name="_____h9" localSheetId="9" hidden="1">{"'Sheet1'!$L$16"}</definedName>
    <definedName name="_____h9" localSheetId="10" hidden="1">{"'Sheet1'!$L$16"}</definedName>
    <definedName name="_____h9" localSheetId="14" hidden="1">{"'Sheet1'!$L$16"}</definedName>
    <definedName name="_____h9" localSheetId="11" hidden="1">{"'Sheet1'!$L$16"}</definedName>
    <definedName name="_____h9" localSheetId="12" hidden="1">{"'Sheet1'!$L$16"}</definedName>
    <definedName name="_____h9" localSheetId="13" hidden="1">{"'Sheet1'!$L$16"}</definedName>
    <definedName name="_____h9" hidden="1">{"'Sheet1'!$L$16"}</definedName>
    <definedName name="_____NSO2" localSheetId="6" hidden="1">{"'Sheet1'!$L$16"}</definedName>
    <definedName name="_____NSO2" localSheetId="7" hidden="1">{"'Sheet1'!$L$16"}</definedName>
    <definedName name="_____NSO2" localSheetId="9" hidden="1">{"'Sheet1'!$L$16"}</definedName>
    <definedName name="_____NSO2" localSheetId="10" hidden="1">{"'Sheet1'!$L$16"}</definedName>
    <definedName name="_____NSO2" localSheetId="14" hidden="1">{"'Sheet1'!$L$16"}</definedName>
    <definedName name="_____NSO2" localSheetId="11" hidden="1">{"'Sheet1'!$L$16"}</definedName>
    <definedName name="_____NSO2" localSheetId="12" hidden="1">{"'Sheet1'!$L$16"}</definedName>
    <definedName name="_____NSO2" localSheetId="13" hidden="1">{"'Sheet1'!$L$16"}</definedName>
    <definedName name="_____NSO2" hidden="1">{"'Sheet1'!$L$16"}</definedName>
    <definedName name="_____PA3" localSheetId="6" hidden="1">{"'Sheet1'!$L$16"}</definedName>
    <definedName name="_____PA3" localSheetId="7" hidden="1">{"'Sheet1'!$L$16"}</definedName>
    <definedName name="_____PA3" localSheetId="9" hidden="1">{"'Sheet1'!$L$16"}</definedName>
    <definedName name="_____PA3" localSheetId="10" hidden="1">{"'Sheet1'!$L$16"}</definedName>
    <definedName name="_____PA3" localSheetId="14" hidden="1">{"'Sheet1'!$L$16"}</definedName>
    <definedName name="_____PA3" localSheetId="11" hidden="1">{"'Sheet1'!$L$16"}</definedName>
    <definedName name="_____PA3" localSheetId="12" hidden="1">{"'Sheet1'!$L$16"}</definedName>
    <definedName name="_____PA3" localSheetId="13" hidden="1">{"'Sheet1'!$L$16"}</definedName>
    <definedName name="_____PA3" hidden="1">{"'Sheet1'!$L$16"}</definedName>
    <definedName name="_____vl2" localSheetId="6" hidden="1">{"'Sheet1'!$L$16"}</definedName>
    <definedName name="_____vl2" localSheetId="7" hidden="1">{"'Sheet1'!$L$16"}</definedName>
    <definedName name="_____vl2" localSheetId="9" hidden="1">{"'Sheet1'!$L$16"}</definedName>
    <definedName name="_____vl2" localSheetId="10" hidden="1">{"'Sheet1'!$L$16"}</definedName>
    <definedName name="_____vl2" localSheetId="14" hidden="1">{"'Sheet1'!$L$16"}</definedName>
    <definedName name="_____vl2" localSheetId="11" hidden="1">{"'Sheet1'!$L$16"}</definedName>
    <definedName name="_____vl2" localSheetId="12" hidden="1">{"'Sheet1'!$L$16"}</definedName>
    <definedName name="_____vl2" localSheetId="13" hidden="1">{"'Sheet1'!$L$16"}</definedName>
    <definedName name="_____vl2" hidden="1">{"'Sheet1'!$L$16"}</definedName>
    <definedName name="____ban2" localSheetId="6" hidden="1">{"'Sheet1'!$L$16"}</definedName>
    <definedName name="____ban2" localSheetId="7" hidden="1">{"'Sheet1'!$L$16"}</definedName>
    <definedName name="____ban2" localSheetId="9" hidden="1">{"'Sheet1'!$L$16"}</definedName>
    <definedName name="____ban2" localSheetId="10" hidden="1">{"'Sheet1'!$L$16"}</definedName>
    <definedName name="____ban2" localSheetId="14" hidden="1">{"'Sheet1'!$L$16"}</definedName>
    <definedName name="____ban2" localSheetId="11" hidden="1">{"'Sheet1'!$L$16"}</definedName>
    <definedName name="____ban2" localSheetId="12" hidden="1">{"'Sheet1'!$L$16"}</definedName>
    <definedName name="____ban2" localSheetId="13" hidden="1">{"'Sheet1'!$L$16"}</definedName>
    <definedName name="____ban2" hidden="1">{"'Sheet1'!$L$16"}</definedName>
    <definedName name="____cep1" localSheetId="6" hidden="1">{"'Sheet1'!$L$16"}</definedName>
    <definedName name="____cep1" localSheetId="7" hidden="1">{"'Sheet1'!$L$16"}</definedName>
    <definedName name="____cep1" localSheetId="9" hidden="1">{"'Sheet1'!$L$16"}</definedName>
    <definedName name="____cep1" localSheetId="10" hidden="1">{"'Sheet1'!$L$16"}</definedName>
    <definedName name="____cep1" localSheetId="14" hidden="1">{"'Sheet1'!$L$16"}</definedName>
    <definedName name="____cep1" localSheetId="11" hidden="1">{"'Sheet1'!$L$16"}</definedName>
    <definedName name="____cep1" localSheetId="12" hidden="1">{"'Sheet1'!$L$16"}</definedName>
    <definedName name="____cep1" localSheetId="13" hidden="1">{"'Sheet1'!$L$16"}</definedName>
    <definedName name="____cep1" hidden="1">{"'Sheet1'!$L$16"}</definedName>
    <definedName name="____Coc39" localSheetId="6" hidden="1">{"'Sheet1'!$L$16"}</definedName>
    <definedName name="____Coc39" localSheetId="7" hidden="1">{"'Sheet1'!$L$16"}</definedName>
    <definedName name="____Coc39" localSheetId="9" hidden="1">{"'Sheet1'!$L$16"}</definedName>
    <definedName name="____Coc39" localSheetId="10" hidden="1">{"'Sheet1'!$L$16"}</definedName>
    <definedName name="____Coc39" localSheetId="14" hidden="1">{"'Sheet1'!$L$16"}</definedName>
    <definedName name="____Coc39" localSheetId="11" hidden="1">{"'Sheet1'!$L$16"}</definedName>
    <definedName name="____Coc39" localSheetId="12" hidden="1">{"'Sheet1'!$L$16"}</definedName>
    <definedName name="____Coc39" localSheetId="13" hidden="1">{"'Sheet1'!$L$16"}</definedName>
    <definedName name="____Coc39" hidden="1">{"'Sheet1'!$L$16"}</definedName>
    <definedName name="____Goi8" localSheetId="6" hidden="1">{"'Sheet1'!$L$16"}</definedName>
    <definedName name="____Goi8" localSheetId="7" hidden="1">{"'Sheet1'!$L$16"}</definedName>
    <definedName name="____Goi8" localSheetId="9" hidden="1">{"'Sheet1'!$L$16"}</definedName>
    <definedName name="____Goi8" localSheetId="10" hidden="1">{"'Sheet1'!$L$16"}</definedName>
    <definedName name="____Goi8" localSheetId="14" hidden="1">{"'Sheet1'!$L$16"}</definedName>
    <definedName name="____Goi8" localSheetId="11" hidden="1">{"'Sheet1'!$L$16"}</definedName>
    <definedName name="____Goi8" localSheetId="12" hidden="1">{"'Sheet1'!$L$16"}</definedName>
    <definedName name="____Goi8" localSheetId="13" hidden="1">{"'Sheet1'!$L$16"}</definedName>
    <definedName name="____Goi8" hidden="1">{"'Sheet1'!$L$16"}</definedName>
    <definedName name="____h1" localSheetId="6" hidden="1">{"'Sheet1'!$L$16"}</definedName>
    <definedName name="____h1" localSheetId="7" hidden="1">{"'Sheet1'!$L$16"}</definedName>
    <definedName name="____h1" localSheetId="9" hidden="1">{"'Sheet1'!$L$16"}</definedName>
    <definedName name="____h1" localSheetId="10" hidden="1">{"'Sheet1'!$L$16"}</definedName>
    <definedName name="____h1" localSheetId="14" hidden="1">{"'Sheet1'!$L$16"}</definedName>
    <definedName name="____h1" localSheetId="11" hidden="1">{"'Sheet1'!$L$16"}</definedName>
    <definedName name="____h1" localSheetId="12" hidden="1">{"'Sheet1'!$L$16"}</definedName>
    <definedName name="____h1" localSheetId="13" hidden="1">{"'Sheet1'!$L$16"}</definedName>
    <definedName name="____h1" hidden="1">{"'Sheet1'!$L$16"}</definedName>
    <definedName name="____h10" localSheetId="6" hidden="1">{#N/A,#N/A,FALSE,"Chi tiÆt"}</definedName>
    <definedName name="____h10" localSheetId="7" hidden="1">{#N/A,#N/A,FALSE,"Chi tiÆt"}</definedName>
    <definedName name="____h10" localSheetId="9" hidden="1">{#N/A,#N/A,FALSE,"Chi tiÆt"}</definedName>
    <definedName name="____h10" localSheetId="10" hidden="1">{#N/A,#N/A,FALSE,"Chi tiÆt"}</definedName>
    <definedName name="____h10" localSheetId="14" hidden="1">{#N/A,#N/A,FALSE,"Chi tiÆt"}</definedName>
    <definedName name="____h10" localSheetId="11" hidden="1">{#N/A,#N/A,FALSE,"Chi tiÆt"}</definedName>
    <definedName name="____h10" localSheetId="12" hidden="1">{#N/A,#N/A,FALSE,"Chi tiÆt"}</definedName>
    <definedName name="____h10" localSheetId="13" hidden="1">{#N/A,#N/A,FALSE,"Chi tiÆt"}</definedName>
    <definedName name="____h10" hidden="1">{#N/A,#N/A,FALSE,"Chi tiÆt"}</definedName>
    <definedName name="____h2" localSheetId="6" hidden="1">{"'Sheet1'!$L$16"}</definedName>
    <definedName name="____h2" localSheetId="7" hidden="1">{"'Sheet1'!$L$16"}</definedName>
    <definedName name="____h2" localSheetId="9" hidden="1">{"'Sheet1'!$L$16"}</definedName>
    <definedName name="____h2" localSheetId="10" hidden="1">{"'Sheet1'!$L$16"}</definedName>
    <definedName name="____h2" localSheetId="14" hidden="1">{"'Sheet1'!$L$16"}</definedName>
    <definedName name="____h2" localSheetId="11" hidden="1">{"'Sheet1'!$L$16"}</definedName>
    <definedName name="____h2" localSheetId="12" hidden="1">{"'Sheet1'!$L$16"}</definedName>
    <definedName name="____h2" localSheetId="13" hidden="1">{"'Sheet1'!$L$16"}</definedName>
    <definedName name="____h2" hidden="1">{"'Sheet1'!$L$16"}</definedName>
    <definedName name="____h3" localSheetId="6" hidden="1">{"'Sheet1'!$L$16"}</definedName>
    <definedName name="____h3" localSheetId="7" hidden="1">{"'Sheet1'!$L$16"}</definedName>
    <definedName name="____h3" localSheetId="9" hidden="1">{"'Sheet1'!$L$16"}</definedName>
    <definedName name="____h3" localSheetId="10" hidden="1">{"'Sheet1'!$L$16"}</definedName>
    <definedName name="____h3" localSheetId="14" hidden="1">{"'Sheet1'!$L$16"}</definedName>
    <definedName name="____h3" localSheetId="11" hidden="1">{"'Sheet1'!$L$16"}</definedName>
    <definedName name="____h3" localSheetId="12" hidden="1">{"'Sheet1'!$L$16"}</definedName>
    <definedName name="____h3" localSheetId="13" hidden="1">{"'Sheet1'!$L$16"}</definedName>
    <definedName name="____h3" hidden="1">{"'Sheet1'!$L$16"}</definedName>
    <definedName name="____h5" localSheetId="6" hidden="1">{"'Sheet1'!$L$16"}</definedName>
    <definedName name="____h5" localSheetId="7" hidden="1">{"'Sheet1'!$L$16"}</definedName>
    <definedName name="____h5" localSheetId="9" hidden="1">{"'Sheet1'!$L$16"}</definedName>
    <definedName name="____h5" localSheetId="10" hidden="1">{"'Sheet1'!$L$16"}</definedName>
    <definedName name="____h5" localSheetId="14" hidden="1">{"'Sheet1'!$L$16"}</definedName>
    <definedName name="____h5" localSheetId="11" hidden="1">{"'Sheet1'!$L$16"}</definedName>
    <definedName name="____h5" localSheetId="12" hidden="1">{"'Sheet1'!$L$16"}</definedName>
    <definedName name="____h5" localSheetId="13" hidden="1">{"'Sheet1'!$L$16"}</definedName>
    <definedName name="____h5" hidden="1">{"'Sheet1'!$L$16"}</definedName>
    <definedName name="____h6" localSheetId="6" hidden="1">{"'Sheet1'!$L$16"}</definedName>
    <definedName name="____h6" localSheetId="7" hidden="1">{"'Sheet1'!$L$16"}</definedName>
    <definedName name="____h6" localSheetId="9" hidden="1">{"'Sheet1'!$L$16"}</definedName>
    <definedName name="____h6" localSheetId="10" hidden="1">{"'Sheet1'!$L$16"}</definedName>
    <definedName name="____h6" localSheetId="14" hidden="1">{"'Sheet1'!$L$16"}</definedName>
    <definedName name="____h6" localSheetId="11" hidden="1">{"'Sheet1'!$L$16"}</definedName>
    <definedName name="____h6" localSheetId="12" hidden="1">{"'Sheet1'!$L$16"}</definedName>
    <definedName name="____h6" localSheetId="13" hidden="1">{"'Sheet1'!$L$16"}</definedName>
    <definedName name="____h6" hidden="1">{"'Sheet1'!$L$16"}</definedName>
    <definedName name="____h7" localSheetId="6" hidden="1">{"'Sheet1'!$L$16"}</definedName>
    <definedName name="____h7" localSheetId="7" hidden="1">{"'Sheet1'!$L$16"}</definedName>
    <definedName name="____h7" localSheetId="9" hidden="1">{"'Sheet1'!$L$16"}</definedName>
    <definedName name="____h7" localSheetId="10" hidden="1">{"'Sheet1'!$L$16"}</definedName>
    <definedName name="____h7" localSheetId="14" hidden="1">{"'Sheet1'!$L$16"}</definedName>
    <definedName name="____h7" localSheetId="11" hidden="1">{"'Sheet1'!$L$16"}</definedName>
    <definedName name="____h7" localSheetId="12" hidden="1">{"'Sheet1'!$L$16"}</definedName>
    <definedName name="____h7" localSheetId="13" hidden="1">{"'Sheet1'!$L$16"}</definedName>
    <definedName name="____h7" hidden="1">{"'Sheet1'!$L$16"}</definedName>
    <definedName name="____h8" localSheetId="6" hidden="1">{"'Sheet1'!$L$16"}</definedName>
    <definedName name="____h8" localSheetId="7" hidden="1">{"'Sheet1'!$L$16"}</definedName>
    <definedName name="____h8" localSheetId="9" hidden="1">{"'Sheet1'!$L$16"}</definedName>
    <definedName name="____h8" localSheetId="10" hidden="1">{"'Sheet1'!$L$16"}</definedName>
    <definedName name="____h8" localSheetId="14" hidden="1">{"'Sheet1'!$L$16"}</definedName>
    <definedName name="____h8" localSheetId="11" hidden="1">{"'Sheet1'!$L$16"}</definedName>
    <definedName name="____h8" localSheetId="12" hidden="1">{"'Sheet1'!$L$16"}</definedName>
    <definedName name="____h8" localSheetId="13" hidden="1">{"'Sheet1'!$L$16"}</definedName>
    <definedName name="____h8" hidden="1">{"'Sheet1'!$L$16"}</definedName>
    <definedName name="____h9" localSheetId="6" hidden="1">{"'Sheet1'!$L$16"}</definedName>
    <definedName name="____h9" localSheetId="7" hidden="1">{"'Sheet1'!$L$16"}</definedName>
    <definedName name="____h9" localSheetId="9" hidden="1">{"'Sheet1'!$L$16"}</definedName>
    <definedName name="____h9" localSheetId="10" hidden="1">{"'Sheet1'!$L$16"}</definedName>
    <definedName name="____h9" localSheetId="14" hidden="1">{"'Sheet1'!$L$16"}</definedName>
    <definedName name="____h9" localSheetId="11" hidden="1">{"'Sheet1'!$L$16"}</definedName>
    <definedName name="____h9" localSheetId="12" hidden="1">{"'Sheet1'!$L$16"}</definedName>
    <definedName name="____h9" localSheetId="13" hidden="1">{"'Sheet1'!$L$16"}</definedName>
    <definedName name="____h9" hidden="1">{"'Sheet1'!$L$16"}</definedName>
    <definedName name="____HUY1" localSheetId="6" hidden="1">{"'Sheet1'!$L$16"}</definedName>
    <definedName name="____HUY1" localSheetId="7" hidden="1">{"'Sheet1'!$L$16"}</definedName>
    <definedName name="____HUY1" localSheetId="9" hidden="1">{"'Sheet1'!$L$16"}</definedName>
    <definedName name="____HUY1" localSheetId="10" hidden="1">{"'Sheet1'!$L$16"}</definedName>
    <definedName name="____HUY1" localSheetId="14" hidden="1">{"'Sheet1'!$L$16"}</definedName>
    <definedName name="____HUY1" localSheetId="11" hidden="1">{"'Sheet1'!$L$16"}</definedName>
    <definedName name="____HUY1" localSheetId="12" hidden="1">{"'Sheet1'!$L$16"}</definedName>
    <definedName name="____HUY1" localSheetId="13" hidden="1">{"'Sheet1'!$L$16"}</definedName>
    <definedName name="____HUY1" hidden="1">{"'Sheet1'!$L$16"}</definedName>
    <definedName name="____HUY2" localSheetId="6" hidden="1">{"'Sheet1'!$L$16"}</definedName>
    <definedName name="____HUY2" localSheetId="7" hidden="1">{"'Sheet1'!$L$16"}</definedName>
    <definedName name="____HUY2" localSheetId="9" hidden="1">{"'Sheet1'!$L$16"}</definedName>
    <definedName name="____HUY2" localSheetId="10" hidden="1">{"'Sheet1'!$L$16"}</definedName>
    <definedName name="____HUY2" localSheetId="14" hidden="1">{"'Sheet1'!$L$16"}</definedName>
    <definedName name="____HUY2" localSheetId="11" hidden="1">{"'Sheet1'!$L$16"}</definedName>
    <definedName name="____HUY2" localSheetId="12" hidden="1">{"'Sheet1'!$L$16"}</definedName>
    <definedName name="____HUY2" localSheetId="13" hidden="1">{"'Sheet1'!$L$16"}</definedName>
    <definedName name="____HUY2" hidden="1">{"'Sheet1'!$L$16"}</definedName>
    <definedName name="____Lan1" localSheetId="6" hidden="1">{"'Sheet1'!$L$16"}</definedName>
    <definedName name="____Lan1" localSheetId="7" hidden="1">{"'Sheet1'!$L$16"}</definedName>
    <definedName name="____Lan1" localSheetId="9" hidden="1">{"'Sheet1'!$L$16"}</definedName>
    <definedName name="____Lan1" localSheetId="10" hidden="1">{"'Sheet1'!$L$16"}</definedName>
    <definedName name="____Lan1" localSheetId="14" hidden="1">{"'Sheet1'!$L$16"}</definedName>
    <definedName name="____Lan1" localSheetId="11" hidden="1">{"'Sheet1'!$L$16"}</definedName>
    <definedName name="____Lan1" localSheetId="12" hidden="1">{"'Sheet1'!$L$16"}</definedName>
    <definedName name="____Lan1" localSheetId="13" hidden="1">{"'Sheet1'!$L$16"}</definedName>
    <definedName name="____Lan1" hidden="1">{"'Sheet1'!$L$16"}</definedName>
    <definedName name="____LAN3" localSheetId="6" hidden="1">{"'Sheet1'!$L$16"}</definedName>
    <definedName name="____LAN3" localSheetId="7" hidden="1">{"'Sheet1'!$L$16"}</definedName>
    <definedName name="____LAN3" localSheetId="9" hidden="1">{"'Sheet1'!$L$16"}</definedName>
    <definedName name="____LAN3" localSheetId="10" hidden="1">{"'Sheet1'!$L$16"}</definedName>
    <definedName name="____LAN3" localSheetId="14" hidden="1">{"'Sheet1'!$L$16"}</definedName>
    <definedName name="____LAN3" localSheetId="11" hidden="1">{"'Sheet1'!$L$16"}</definedName>
    <definedName name="____LAN3" localSheetId="12" hidden="1">{"'Sheet1'!$L$16"}</definedName>
    <definedName name="____LAN3" localSheetId="13" hidden="1">{"'Sheet1'!$L$16"}</definedName>
    <definedName name="____LAN3" hidden="1">{"'Sheet1'!$L$16"}</definedName>
    <definedName name="____lk2" localSheetId="6" hidden="1">{"'Sheet1'!$L$16"}</definedName>
    <definedName name="____lk2" localSheetId="7" hidden="1">{"'Sheet1'!$L$16"}</definedName>
    <definedName name="____lk2" localSheetId="9" hidden="1">{"'Sheet1'!$L$16"}</definedName>
    <definedName name="____lk2" localSheetId="10" hidden="1">{"'Sheet1'!$L$16"}</definedName>
    <definedName name="____lk2" localSheetId="14" hidden="1">{"'Sheet1'!$L$16"}</definedName>
    <definedName name="____lk2" localSheetId="11" hidden="1">{"'Sheet1'!$L$16"}</definedName>
    <definedName name="____lk2" localSheetId="12" hidden="1">{"'Sheet1'!$L$16"}</definedName>
    <definedName name="____lk2" localSheetId="13" hidden="1">{"'Sheet1'!$L$16"}</definedName>
    <definedName name="____lk2" hidden="1">{"'Sheet1'!$L$16"}</definedName>
    <definedName name="____NSO2" localSheetId="6" hidden="1">{"'Sheet1'!$L$16"}</definedName>
    <definedName name="____NSO2" localSheetId="7" hidden="1">{"'Sheet1'!$L$16"}</definedName>
    <definedName name="____NSO2" localSheetId="9" hidden="1">{"'Sheet1'!$L$16"}</definedName>
    <definedName name="____NSO2" localSheetId="10" hidden="1">{"'Sheet1'!$L$16"}</definedName>
    <definedName name="____NSO2" localSheetId="14" hidden="1">{"'Sheet1'!$L$16"}</definedName>
    <definedName name="____NSO2" localSheetId="11" hidden="1">{"'Sheet1'!$L$16"}</definedName>
    <definedName name="____NSO2" localSheetId="12" hidden="1">{"'Sheet1'!$L$16"}</definedName>
    <definedName name="____NSO2" localSheetId="13" hidden="1">{"'Sheet1'!$L$16"}</definedName>
    <definedName name="____NSO2" hidden="1">{"'Sheet1'!$L$16"}</definedName>
    <definedName name="____PA3" localSheetId="6" hidden="1">{"'Sheet1'!$L$16"}</definedName>
    <definedName name="____PA3" localSheetId="7" hidden="1">{"'Sheet1'!$L$16"}</definedName>
    <definedName name="____PA3" localSheetId="9" hidden="1">{"'Sheet1'!$L$16"}</definedName>
    <definedName name="____PA3" localSheetId="10" hidden="1">{"'Sheet1'!$L$16"}</definedName>
    <definedName name="____PA3" localSheetId="14" hidden="1">{"'Sheet1'!$L$16"}</definedName>
    <definedName name="____PA3" localSheetId="11" hidden="1">{"'Sheet1'!$L$16"}</definedName>
    <definedName name="____PA3" localSheetId="12" hidden="1">{"'Sheet1'!$L$16"}</definedName>
    <definedName name="____PA3" localSheetId="13" hidden="1">{"'Sheet1'!$L$16"}</definedName>
    <definedName name="____PA3" hidden="1">{"'Sheet1'!$L$16"}</definedName>
    <definedName name="____Pl2" localSheetId="6" hidden="1">{"'Sheet1'!$L$16"}</definedName>
    <definedName name="____Pl2" localSheetId="7" hidden="1">{"'Sheet1'!$L$16"}</definedName>
    <definedName name="____Pl2" localSheetId="9" hidden="1">{"'Sheet1'!$L$16"}</definedName>
    <definedName name="____Pl2" localSheetId="10" hidden="1">{"'Sheet1'!$L$16"}</definedName>
    <definedName name="____Pl2" localSheetId="14" hidden="1">{"'Sheet1'!$L$16"}</definedName>
    <definedName name="____Pl2" localSheetId="11" hidden="1">{"'Sheet1'!$L$16"}</definedName>
    <definedName name="____Pl2" localSheetId="12" hidden="1">{"'Sheet1'!$L$16"}</definedName>
    <definedName name="____Pl2" localSheetId="13" hidden="1">{"'Sheet1'!$L$16"}</definedName>
    <definedName name="____Pl2" hidden="1">{"'Sheet1'!$L$16"}</definedName>
    <definedName name="____tt3" localSheetId="6" hidden="1">{"'Sheet1'!$L$16"}</definedName>
    <definedName name="____tt3" localSheetId="7" hidden="1">{"'Sheet1'!$L$16"}</definedName>
    <definedName name="____tt3" localSheetId="9" hidden="1">{"'Sheet1'!$L$16"}</definedName>
    <definedName name="____tt3" localSheetId="10" hidden="1">{"'Sheet1'!$L$16"}</definedName>
    <definedName name="____tt3" localSheetId="14" hidden="1">{"'Sheet1'!$L$16"}</definedName>
    <definedName name="____tt3" localSheetId="11" hidden="1">{"'Sheet1'!$L$16"}</definedName>
    <definedName name="____tt3" localSheetId="12" hidden="1">{"'Sheet1'!$L$16"}</definedName>
    <definedName name="____tt3" localSheetId="13" hidden="1">{"'Sheet1'!$L$16"}</definedName>
    <definedName name="____tt3" hidden="1">{"'Sheet1'!$L$16"}</definedName>
    <definedName name="____TT31" localSheetId="6" hidden="1">{"'Sheet1'!$L$16"}</definedName>
    <definedName name="____TT31" localSheetId="7" hidden="1">{"'Sheet1'!$L$16"}</definedName>
    <definedName name="____TT31" localSheetId="9" hidden="1">{"'Sheet1'!$L$16"}</definedName>
    <definedName name="____TT31" localSheetId="10" hidden="1">{"'Sheet1'!$L$16"}</definedName>
    <definedName name="____TT31" localSheetId="14" hidden="1">{"'Sheet1'!$L$16"}</definedName>
    <definedName name="____TT31" localSheetId="11" hidden="1">{"'Sheet1'!$L$16"}</definedName>
    <definedName name="____TT31" localSheetId="12" hidden="1">{"'Sheet1'!$L$16"}</definedName>
    <definedName name="____TT31" localSheetId="13" hidden="1">{"'Sheet1'!$L$16"}</definedName>
    <definedName name="____TT31" hidden="1">{"'Sheet1'!$L$16"}</definedName>
    <definedName name="____Tru21" localSheetId="6" hidden="1">{"'Sheet1'!$L$16"}</definedName>
    <definedName name="____Tru21" localSheetId="7" hidden="1">{"'Sheet1'!$L$16"}</definedName>
    <definedName name="____Tru21" localSheetId="9" hidden="1">{"'Sheet1'!$L$16"}</definedName>
    <definedName name="____Tru21" localSheetId="10" hidden="1">{"'Sheet1'!$L$16"}</definedName>
    <definedName name="____Tru21" localSheetId="14" hidden="1">{"'Sheet1'!$L$16"}</definedName>
    <definedName name="____Tru21" localSheetId="11" hidden="1">{"'Sheet1'!$L$16"}</definedName>
    <definedName name="____Tru21" localSheetId="12" hidden="1">{"'Sheet1'!$L$16"}</definedName>
    <definedName name="____Tru21" localSheetId="13" hidden="1">{"'Sheet1'!$L$16"}</definedName>
    <definedName name="____Tru21" hidden="1">{"'Sheet1'!$L$16"}</definedName>
    <definedName name="____vl2" localSheetId="6" hidden="1">{"'Sheet1'!$L$16"}</definedName>
    <definedName name="____vl2" localSheetId="7" hidden="1">{"'Sheet1'!$L$16"}</definedName>
    <definedName name="____vl2" localSheetId="9" hidden="1">{"'Sheet1'!$L$16"}</definedName>
    <definedName name="____vl2" localSheetId="10" hidden="1">{"'Sheet1'!$L$16"}</definedName>
    <definedName name="____vl2" localSheetId="14" hidden="1">{"'Sheet1'!$L$16"}</definedName>
    <definedName name="____vl2" localSheetId="11" hidden="1">{"'Sheet1'!$L$16"}</definedName>
    <definedName name="____vl2" localSheetId="12" hidden="1">{"'Sheet1'!$L$16"}</definedName>
    <definedName name="____vl2" localSheetId="13" hidden="1">{"'Sheet1'!$L$16"}</definedName>
    <definedName name="____vl2" hidden="1">{"'Sheet1'!$L$16"}</definedName>
    <definedName name="____VM2" localSheetId="6" hidden="1">{"'Sheet1'!$L$16"}</definedName>
    <definedName name="____VM2" localSheetId="7" hidden="1">{"'Sheet1'!$L$16"}</definedName>
    <definedName name="____VM2" localSheetId="9" hidden="1">{"'Sheet1'!$L$16"}</definedName>
    <definedName name="____VM2" localSheetId="10" hidden="1">{"'Sheet1'!$L$16"}</definedName>
    <definedName name="____VM2" localSheetId="14" hidden="1">{"'Sheet1'!$L$16"}</definedName>
    <definedName name="____VM2" localSheetId="11" hidden="1">{"'Sheet1'!$L$16"}</definedName>
    <definedName name="____VM2" localSheetId="12" hidden="1">{"'Sheet1'!$L$16"}</definedName>
    <definedName name="____VM2" localSheetId="13" hidden="1">{"'Sheet1'!$L$16"}</definedName>
    <definedName name="____VM2" hidden="1">{"'Sheet1'!$L$16"}</definedName>
    <definedName name="___a1" localSheetId="6" hidden="1">{"'Sheet1'!$L$16"}</definedName>
    <definedName name="___a1" localSheetId="7" hidden="1">{"'Sheet1'!$L$16"}</definedName>
    <definedName name="___a1" localSheetId="9" hidden="1">{"'Sheet1'!$L$16"}</definedName>
    <definedName name="___a1" localSheetId="10" hidden="1">{"'Sheet1'!$L$16"}</definedName>
    <definedName name="___a1" localSheetId="14" hidden="1">{"'Sheet1'!$L$16"}</definedName>
    <definedName name="___a1" localSheetId="11" hidden="1">{"'Sheet1'!$L$16"}</definedName>
    <definedName name="___a1" localSheetId="12" hidden="1">{"'Sheet1'!$L$16"}</definedName>
    <definedName name="___a1" localSheetId="13" hidden="1">{"'Sheet1'!$L$16"}</definedName>
    <definedName name="___a1" hidden="1">{"'Sheet1'!$L$16"}</definedName>
    <definedName name="___ban2" localSheetId="6" hidden="1">{"'Sheet1'!$L$16"}</definedName>
    <definedName name="___ban2" localSheetId="7" hidden="1">{"'Sheet1'!$L$16"}</definedName>
    <definedName name="___ban2" localSheetId="9" hidden="1">{"'Sheet1'!$L$16"}</definedName>
    <definedName name="___ban2" localSheetId="10" hidden="1">{"'Sheet1'!$L$16"}</definedName>
    <definedName name="___ban2" localSheetId="14" hidden="1">{"'Sheet1'!$L$16"}</definedName>
    <definedName name="___ban2" localSheetId="11" hidden="1">{"'Sheet1'!$L$16"}</definedName>
    <definedName name="___ban2" localSheetId="12" hidden="1">{"'Sheet1'!$L$16"}</definedName>
    <definedName name="___ban2" localSheetId="13" hidden="1">{"'Sheet1'!$L$16"}</definedName>
    <definedName name="___ban2" hidden="1">{"'Sheet1'!$L$16"}</definedName>
    <definedName name="___cep1" localSheetId="6" hidden="1">{"'Sheet1'!$L$16"}</definedName>
    <definedName name="___cep1" localSheetId="7" hidden="1">{"'Sheet1'!$L$16"}</definedName>
    <definedName name="___cep1" localSheetId="9" hidden="1">{"'Sheet1'!$L$16"}</definedName>
    <definedName name="___cep1" localSheetId="10" hidden="1">{"'Sheet1'!$L$16"}</definedName>
    <definedName name="___cep1" localSheetId="14" hidden="1">{"'Sheet1'!$L$16"}</definedName>
    <definedName name="___cep1" localSheetId="11" hidden="1">{"'Sheet1'!$L$16"}</definedName>
    <definedName name="___cep1" localSheetId="12" hidden="1">{"'Sheet1'!$L$16"}</definedName>
    <definedName name="___cep1" localSheetId="13" hidden="1">{"'Sheet1'!$L$16"}</definedName>
    <definedName name="___cep1" hidden="1">{"'Sheet1'!$L$16"}</definedName>
    <definedName name="___Coc39" localSheetId="6" hidden="1">{"'Sheet1'!$L$16"}</definedName>
    <definedName name="___Coc39" localSheetId="7" hidden="1">{"'Sheet1'!$L$16"}</definedName>
    <definedName name="___Coc39" localSheetId="9" hidden="1">{"'Sheet1'!$L$16"}</definedName>
    <definedName name="___Coc39" localSheetId="10" hidden="1">{"'Sheet1'!$L$16"}</definedName>
    <definedName name="___Coc39" localSheetId="14" hidden="1">{"'Sheet1'!$L$16"}</definedName>
    <definedName name="___Coc39" localSheetId="11" hidden="1">{"'Sheet1'!$L$16"}</definedName>
    <definedName name="___Coc39" localSheetId="12" hidden="1">{"'Sheet1'!$L$16"}</definedName>
    <definedName name="___Coc39" localSheetId="13" hidden="1">{"'Sheet1'!$L$16"}</definedName>
    <definedName name="___Coc39" hidden="1">{"'Sheet1'!$L$16"}</definedName>
    <definedName name="___Goi8" localSheetId="6" hidden="1">{"'Sheet1'!$L$16"}</definedName>
    <definedName name="___Goi8" localSheetId="7" hidden="1">{"'Sheet1'!$L$16"}</definedName>
    <definedName name="___Goi8" localSheetId="9" hidden="1">{"'Sheet1'!$L$16"}</definedName>
    <definedName name="___Goi8" localSheetId="10" hidden="1">{"'Sheet1'!$L$16"}</definedName>
    <definedName name="___Goi8" localSheetId="14" hidden="1">{"'Sheet1'!$L$16"}</definedName>
    <definedName name="___Goi8" localSheetId="11" hidden="1">{"'Sheet1'!$L$16"}</definedName>
    <definedName name="___Goi8" localSheetId="12" hidden="1">{"'Sheet1'!$L$16"}</definedName>
    <definedName name="___Goi8" localSheetId="13" hidden="1">{"'Sheet1'!$L$16"}</definedName>
    <definedName name="___Goi8" hidden="1">{"'Sheet1'!$L$16"}</definedName>
    <definedName name="___h1" localSheetId="6" hidden="1">{"'Sheet1'!$L$16"}</definedName>
    <definedName name="___h1" localSheetId="7" hidden="1">{"'Sheet1'!$L$16"}</definedName>
    <definedName name="___h1" localSheetId="9" hidden="1">{"'Sheet1'!$L$16"}</definedName>
    <definedName name="___h1" localSheetId="10" hidden="1">{"'Sheet1'!$L$16"}</definedName>
    <definedName name="___h1" localSheetId="14" hidden="1">{"'Sheet1'!$L$16"}</definedName>
    <definedName name="___h1" localSheetId="11" hidden="1">{"'Sheet1'!$L$16"}</definedName>
    <definedName name="___h1" localSheetId="12" hidden="1">{"'Sheet1'!$L$16"}</definedName>
    <definedName name="___h1" localSheetId="13" hidden="1">{"'Sheet1'!$L$16"}</definedName>
    <definedName name="___h1" hidden="1">{"'Sheet1'!$L$16"}</definedName>
    <definedName name="___h10" localSheetId="6" hidden="1">{#N/A,#N/A,FALSE,"Chi tiÆt"}</definedName>
    <definedName name="___h10" localSheetId="7" hidden="1">{#N/A,#N/A,FALSE,"Chi tiÆt"}</definedName>
    <definedName name="___h10" localSheetId="9" hidden="1">{#N/A,#N/A,FALSE,"Chi tiÆt"}</definedName>
    <definedName name="___h10" localSheetId="10" hidden="1">{#N/A,#N/A,FALSE,"Chi tiÆt"}</definedName>
    <definedName name="___h10" localSheetId="14" hidden="1">{#N/A,#N/A,FALSE,"Chi tiÆt"}</definedName>
    <definedName name="___h10" localSheetId="11" hidden="1">{#N/A,#N/A,FALSE,"Chi tiÆt"}</definedName>
    <definedName name="___h10" localSheetId="12" hidden="1">{#N/A,#N/A,FALSE,"Chi tiÆt"}</definedName>
    <definedName name="___h10" localSheetId="13" hidden="1">{#N/A,#N/A,FALSE,"Chi tiÆt"}</definedName>
    <definedName name="___h10" hidden="1">{#N/A,#N/A,FALSE,"Chi tiÆt"}</definedName>
    <definedName name="___h2" localSheetId="6" hidden="1">{"'Sheet1'!$L$16"}</definedName>
    <definedName name="___h2" localSheetId="7" hidden="1">{"'Sheet1'!$L$16"}</definedName>
    <definedName name="___h2" localSheetId="9" hidden="1">{"'Sheet1'!$L$16"}</definedName>
    <definedName name="___h2" localSheetId="10" hidden="1">{"'Sheet1'!$L$16"}</definedName>
    <definedName name="___h2" localSheetId="14" hidden="1">{"'Sheet1'!$L$16"}</definedName>
    <definedName name="___h2" localSheetId="11" hidden="1">{"'Sheet1'!$L$16"}</definedName>
    <definedName name="___h2" localSheetId="12" hidden="1">{"'Sheet1'!$L$16"}</definedName>
    <definedName name="___h2" localSheetId="13" hidden="1">{"'Sheet1'!$L$16"}</definedName>
    <definedName name="___h2" hidden="1">{"'Sheet1'!$L$16"}</definedName>
    <definedName name="___h3" localSheetId="6" hidden="1">{"'Sheet1'!$L$16"}</definedName>
    <definedName name="___h3" localSheetId="7" hidden="1">{"'Sheet1'!$L$16"}</definedName>
    <definedName name="___h3" localSheetId="9" hidden="1">{"'Sheet1'!$L$16"}</definedName>
    <definedName name="___h3" localSheetId="10" hidden="1">{"'Sheet1'!$L$16"}</definedName>
    <definedName name="___h3" localSheetId="14" hidden="1">{"'Sheet1'!$L$16"}</definedName>
    <definedName name="___h3" localSheetId="11" hidden="1">{"'Sheet1'!$L$16"}</definedName>
    <definedName name="___h3" localSheetId="12" hidden="1">{"'Sheet1'!$L$16"}</definedName>
    <definedName name="___h3" localSheetId="13" hidden="1">{"'Sheet1'!$L$16"}</definedName>
    <definedName name="___h3" hidden="1">{"'Sheet1'!$L$16"}</definedName>
    <definedName name="___h5" localSheetId="6" hidden="1">{"'Sheet1'!$L$16"}</definedName>
    <definedName name="___h5" localSheetId="7" hidden="1">{"'Sheet1'!$L$16"}</definedName>
    <definedName name="___h5" localSheetId="9" hidden="1">{"'Sheet1'!$L$16"}</definedName>
    <definedName name="___h5" localSheetId="10" hidden="1">{"'Sheet1'!$L$16"}</definedName>
    <definedName name="___h5" localSheetId="14" hidden="1">{"'Sheet1'!$L$16"}</definedName>
    <definedName name="___h5" localSheetId="11" hidden="1">{"'Sheet1'!$L$16"}</definedName>
    <definedName name="___h5" localSheetId="12" hidden="1">{"'Sheet1'!$L$16"}</definedName>
    <definedName name="___h5" localSheetId="13" hidden="1">{"'Sheet1'!$L$16"}</definedName>
    <definedName name="___h5" hidden="1">{"'Sheet1'!$L$16"}</definedName>
    <definedName name="___h6" localSheetId="6" hidden="1">{"'Sheet1'!$L$16"}</definedName>
    <definedName name="___h6" localSheetId="7" hidden="1">{"'Sheet1'!$L$16"}</definedName>
    <definedName name="___h6" localSheetId="9" hidden="1">{"'Sheet1'!$L$16"}</definedName>
    <definedName name="___h6" localSheetId="10" hidden="1">{"'Sheet1'!$L$16"}</definedName>
    <definedName name="___h6" localSheetId="14" hidden="1">{"'Sheet1'!$L$16"}</definedName>
    <definedName name="___h6" localSheetId="11" hidden="1">{"'Sheet1'!$L$16"}</definedName>
    <definedName name="___h6" localSheetId="12" hidden="1">{"'Sheet1'!$L$16"}</definedName>
    <definedName name="___h6" localSheetId="13" hidden="1">{"'Sheet1'!$L$16"}</definedName>
    <definedName name="___h6" hidden="1">{"'Sheet1'!$L$16"}</definedName>
    <definedName name="___h7" localSheetId="6" hidden="1">{"'Sheet1'!$L$16"}</definedName>
    <definedName name="___h7" localSheetId="7" hidden="1">{"'Sheet1'!$L$16"}</definedName>
    <definedName name="___h7" localSheetId="9" hidden="1">{"'Sheet1'!$L$16"}</definedName>
    <definedName name="___h7" localSheetId="10" hidden="1">{"'Sheet1'!$L$16"}</definedName>
    <definedName name="___h7" localSheetId="14" hidden="1">{"'Sheet1'!$L$16"}</definedName>
    <definedName name="___h7" localSheetId="11" hidden="1">{"'Sheet1'!$L$16"}</definedName>
    <definedName name="___h7" localSheetId="12" hidden="1">{"'Sheet1'!$L$16"}</definedName>
    <definedName name="___h7" localSheetId="13" hidden="1">{"'Sheet1'!$L$16"}</definedName>
    <definedName name="___h7" hidden="1">{"'Sheet1'!$L$16"}</definedName>
    <definedName name="___h8" localSheetId="6" hidden="1">{"'Sheet1'!$L$16"}</definedName>
    <definedName name="___h8" localSheetId="7" hidden="1">{"'Sheet1'!$L$16"}</definedName>
    <definedName name="___h8" localSheetId="9" hidden="1">{"'Sheet1'!$L$16"}</definedName>
    <definedName name="___h8" localSheetId="10" hidden="1">{"'Sheet1'!$L$16"}</definedName>
    <definedName name="___h8" localSheetId="14" hidden="1">{"'Sheet1'!$L$16"}</definedName>
    <definedName name="___h8" localSheetId="11" hidden="1">{"'Sheet1'!$L$16"}</definedName>
    <definedName name="___h8" localSheetId="12" hidden="1">{"'Sheet1'!$L$16"}</definedName>
    <definedName name="___h8" localSheetId="13" hidden="1">{"'Sheet1'!$L$16"}</definedName>
    <definedName name="___h8" hidden="1">{"'Sheet1'!$L$16"}</definedName>
    <definedName name="___h9" localSheetId="6" hidden="1">{"'Sheet1'!$L$16"}</definedName>
    <definedName name="___h9" localSheetId="7" hidden="1">{"'Sheet1'!$L$16"}</definedName>
    <definedName name="___h9" localSheetId="9" hidden="1">{"'Sheet1'!$L$16"}</definedName>
    <definedName name="___h9" localSheetId="10" hidden="1">{"'Sheet1'!$L$16"}</definedName>
    <definedName name="___h9" localSheetId="14" hidden="1">{"'Sheet1'!$L$16"}</definedName>
    <definedName name="___h9" localSheetId="11" hidden="1">{"'Sheet1'!$L$16"}</definedName>
    <definedName name="___h9" localSheetId="12" hidden="1">{"'Sheet1'!$L$16"}</definedName>
    <definedName name="___h9" localSheetId="13" hidden="1">{"'Sheet1'!$L$16"}</definedName>
    <definedName name="___h9" hidden="1">{"'Sheet1'!$L$16"}</definedName>
    <definedName name="___HUY1" localSheetId="6" hidden="1">{"'Sheet1'!$L$16"}</definedName>
    <definedName name="___HUY1" localSheetId="7" hidden="1">{"'Sheet1'!$L$16"}</definedName>
    <definedName name="___HUY1" localSheetId="9" hidden="1">{"'Sheet1'!$L$16"}</definedName>
    <definedName name="___HUY1" localSheetId="10" hidden="1">{"'Sheet1'!$L$16"}</definedName>
    <definedName name="___HUY1" localSheetId="14" hidden="1">{"'Sheet1'!$L$16"}</definedName>
    <definedName name="___HUY1" localSheetId="11" hidden="1">{"'Sheet1'!$L$16"}</definedName>
    <definedName name="___HUY1" localSheetId="12" hidden="1">{"'Sheet1'!$L$16"}</definedName>
    <definedName name="___HUY1" localSheetId="13" hidden="1">{"'Sheet1'!$L$16"}</definedName>
    <definedName name="___HUY1" hidden="1">{"'Sheet1'!$L$16"}</definedName>
    <definedName name="___HUY2" localSheetId="6" hidden="1">{"'Sheet1'!$L$16"}</definedName>
    <definedName name="___HUY2" localSheetId="7" hidden="1">{"'Sheet1'!$L$16"}</definedName>
    <definedName name="___HUY2" localSheetId="9" hidden="1">{"'Sheet1'!$L$16"}</definedName>
    <definedName name="___HUY2" localSheetId="10" hidden="1">{"'Sheet1'!$L$16"}</definedName>
    <definedName name="___HUY2" localSheetId="14" hidden="1">{"'Sheet1'!$L$16"}</definedName>
    <definedName name="___HUY2" localSheetId="11" hidden="1">{"'Sheet1'!$L$16"}</definedName>
    <definedName name="___HUY2" localSheetId="12" hidden="1">{"'Sheet1'!$L$16"}</definedName>
    <definedName name="___HUY2" localSheetId="13" hidden="1">{"'Sheet1'!$L$16"}</definedName>
    <definedName name="___HUY2" hidden="1">{"'Sheet1'!$L$16"}</definedName>
    <definedName name="___Lan1" localSheetId="6" hidden="1">{"'Sheet1'!$L$16"}</definedName>
    <definedName name="___Lan1" localSheetId="7" hidden="1">{"'Sheet1'!$L$16"}</definedName>
    <definedName name="___Lan1" localSheetId="9" hidden="1">{"'Sheet1'!$L$16"}</definedName>
    <definedName name="___Lan1" localSheetId="10" hidden="1">{"'Sheet1'!$L$16"}</definedName>
    <definedName name="___Lan1" localSheetId="14" hidden="1">{"'Sheet1'!$L$16"}</definedName>
    <definedName name="___Lan1" localSheetId="11" hidden="1">{"'Sheet1'!$L$16"}</definedName>
    <definedName name="___Lan1" localSheetId="12" hidden="1">{"'Sheet1'!$L$16"}</definedName>
    <definedName name="___Lan1" localSheetId="13" hidden="1">{"'Sheet1'!$L$16"}</definedName>
    <definedName name="___Lan1" hidden="1">{"'Sheet1'!$L$16"}</definedName>
    <definedName name="___LAN3" localSheetId="6" hidden="1">{"'Sheet1'!$L$16"}</definedName>
    <definedName name="___LAN3" localSheetId="7" hidden="1">{"'Sheet1'!$L$16"}</definedName>
    <definedName name="___LAN3" localSheetId="9" hidden="1">{"'Sheet1'!$L$16"}</definedName>
    <definedName name="___LAN3" localSheetId="10" hidden="1">{"'Sheet1'!$L$16"}</definedName>
    <definedName name="___LAN3" localSheetId="14" hidden="1">{"'Sheet1'!$L$16"}</definedName>
    <definedName name="___LAN3" localSheetId="11" hidden="1">{"'Sheet1'!$L$16"}</definedName>
    <definedName name="___LAN3" localSheetId="12" hidden="1">{"'Sheet1'!$L$16"}</definedName>
    <definedName name="___LAN3" localSheetId="13" hidden="1">{"'Sheet1'!$L$16"}</definedName>
    <definedName name="___LAN3" hidden="1">{"'Sheet1'!$L$16"}</definedName>
    <definedName name="___lk2" localSheetId="6" hidden="1">{"'Sheet1'!$L$16"}</definedName>
    <definedName name="___lk2" localSheetId="7" hidden="1">{"'Sheet1'!$L$16"}</definedName>
    <definedName name="___lk2" localSheetId="9" hidden="1">{"'Sheet1'!$L$16"}</definedName>
    <definedName name="___lk2" localSheetId="10" hidden="1">{"'Sheet1'!$L$16"}</definedName>
    <definedName name="___lk2" localSheetId="14" hidden="1">{"'Sheet1'!$L$16"}</definedName>
    <definedName name="___lk2" localSheetId="11" hidden="1">{"'Sheet1'!$L$16"}</definedName>
    <definedName name="___lk2" localSheetId="12" hidden="1">{"'Sheet1'!$L$16"}</definedName>
    <definedName name="___lk2" localSheetId="13" hidden="1">{"'Sheet1'!$L$16"}</definedName>
    <definedName name="___lk2" hidden="1">{"'Sheet1'!$L$16"}</definedName>
    <definedName name="___NSO2" localSheetId="6" hidden="1">{"'Sheet1'!$L$16"}</definedName>
    <definedName name="___NSO2" localSheetId="7" hidden="1">{"'Sheet1'!$L$16"}</definedName>
    <definedName name="___NSO2" localSheetId="9" hidden="1">{"'Sheet1'!$L$16"}</definedName>
    <definedName name="___NSO2" localSheetId="10" hidden="1">{"'Sheet1'!$L$16"}</definedName>
    <definedName name="___NSO2" localSheetId="14" hidden="1">{"'Sheet1'!$L$16"}</definedName>
    <definedName name="___NSO2" localSheetId="11" hidden="1">{"'Sheet1'!$L$16"}</definedName>
    <definedName name="___NSO2" localSheetId="12" hidden="1">{"'Sheet1'!$L$16"}</definedName>
    <definedName name="___NSO2" localSheetId="13" hidden="1">{"'Sheet1'!$L$16"}</definedName>
    <definedName name="___NSO2" hidden="1">{"'Sheet1'!$L$16"}</definedName>
    <definedName name="___PA3" localSheetId="6" hidden="1">{"'Sheet1'!$L$16"}</definedName>
    <definedName name="___PA3" localSheetId="7" hidden="1">{"'Sheet1'!$L$16"}</definedName>
    <definedName name="___PA3" localSheetId="9" hidden="1">{"'Sheet1'!$L$16"}</definedName>
    <definedName name="___PA3" localSheetId="10" hidden="1">{"'Sheet1'!$L$16"}</definedName>
    <definedName name="___PA3" localSheetId="14" hidden="1">{"'Sheet1'!$L$16"}</definedName>
    <definedName name="___PA3" localSheetId="11" hidden="1">{"'Sheet1'!$L$16"}</definedName>
    <definedName name="___PA3" localSheetId="12" hidden="1">{"'Sheet1'!$L$16"}</definedName>
    <definedName name="___PA3" localSheetId="13" hidden="1">{"'Sheet1'!$L$16"}</definedName>
    <definedName name="___PA3" hidden="1">{"'Sheet1'!$L$16"}</definedName>
    <definedName name="___Pl2" localSheetId="6" hidden="1">{"'Sheet1'!$L$16"}</definedName>
    <definedName name="___Pl2" localSheetId="7" hidden="1">{"'Sheet1'!$L$16"}</definedName>
    <definedName name="___Pl2" localSheetId="9" hidden="1">{"'Sheet1'!$L$16"}</definedName>
    <definedName name="___Pl2" localSheetId="10" hidden="1">{"'Sheet1'!$L$16"}</definedName>
    <definedName name="___Pl2" localSheetId="14" hidden="1">{"'Sheet1'!$L$16"}</definedName>
    <definedName name="___Pl2" localSheetId="11" hidden="1">{"'Sheet1'!$L$16"}</definedName>
    <definedName name="___Pl2" localSheetId="12" hidden="1">{"'Sheet1'!$L$16"}</definedName>
    <definedName name="___Pl2" localSheetId="13" hidden="1">{"'Sheet1'!$L$16"}</definedName>
    <definedName name="___Pl2" hidden="1">{"'Sheet1'!$L$16"}</definedName>
    <definedName name="___tt3" localSheetId="6" hidden="1">{"'Sheet1'!$L$16"}</definedName>
    <definedName name="___tt3" localSheetId="7" hidden="1">{"'Sheet1'!$L$16"}</definedName>
    <definedName name="___tt3" localSheetId="9" hidden="1">{"'Sheet1'!$L$16"}</definedName>
    <definedName name="___tt3" localSheetId="10" hidden="1">{"'Sheet1'!$L$16"}</definedName>
    <definedName name="___tt3" localSheetId="14" hidden="1">{"'Sheet1'!$L$16"}</definedName>
    <definedName name="___tt3" localSheetId="11" hidden="1">{"'Sheet1'!$L$16"}</definedName>
    <definedName name="___tt3" localSheetId="12" hidden="1">{"'Sheet1'!$L$16"}</definedName>
    <definedName name="___tt3" localSheetId="13" hidden="1">{"'Sheet1'!$L$16"}</definedName>
    <definedName name="___tt3" hidden="1">{"'Sheet1'!$L$16"}</definedName>
    <definedName name="___TT31" localSheetId="6" hidden="1">{"'Sheet1'!$L$16"}</definedName>
    <definedName name="___TT31" localSheetId="7" hidden="1">{"'Sheet1'!$L$16"}</definedName>
    <definedName name="___TT31" localSheetId="9" hidden="1">{"'Sheet1'!$L$16"}</definedName>
    <definedName name="___TT31" localSheetId="10" hidden="1">{"'Sheet1'!$L$16"}</definedName>
    <definedName name="___TT31" localSheetId="14" hidden="1">{"'Sheet1'!$L$16"}</definedName>
    <definedName name="___TT31" localSheetId="11" hidden="1">{"'Sheet1'!$L$16"}</definedName>
    <definedName name="___TT31" localSheetId="12" hidden="1">{"'Sheet1'!$L$16"}</definedName>
    <definedName name="___TT31" localSheetId="13" hidden="1">{"'Sheet1'!$L$16"}</definedName>
    <definedName name="___TT31" hidden="1">{"'Sheet1'!$L$16"}</definedName>
    <definedName name="___Tru21" localSheetId="6" hidden="1">{"'Sheet1'!$L$16"}</definedName>
    <definedName name="___Tru21" localSheetId="7" hidden="1">{"'Sheet1'!$L$16"}</definedName>
    <definedName name="___Tru21" localSheetId="9" hidden="1">{"'Sheet1'!$L$16"}</definedName>
    <definedName name="___Tru21" localSheetId="10" hidden="1">{"'Sheet1'!$L$16"}</definedName>
    <definedName name="___Tru21" localSheetId="14" hidden="1">{"'Sheet1'!$L$16"}</definedName>
    <definedName name="___Tru21" localSheetId="11" hidden="1">{"'Sheet1'!$L$16"}</definedName>
    <definedName name="___Tru21" localSheetId="12" hidden="1">{"'Sheet1'!$L$16"}</definedName>
    <definedName name="___Tru21" localSheetId="13" hidden="1">{"'Sheet1'!$L$16"}</definedName>
    <definedName name="___Tru21" hidden="1">{"'Sheet1'!$L$16"}</definedName>
    <definedName name="___vl2" localSheetId="6" hidden="1">{"'Sheet1'!$L$16"}</definedName>
    <definedName name="___vl2" localSheetId="7" hidden="1">{"'Sheet1'!$L$16"}</definedName>
    <definedName name="___vl2" localSheetId="9" hidden="1">{"'Sheet1'!$L$16"}</definedName>
    <definedName name="___vl2" localSheetId="10" hidden="1">{"'Sheet1'!$L$16"}</definedName>
    <definedName name="___vl2" localSheetId="14" hidden="1">{"'Sheet1'!$L$16"}</definedName>
    <definedName name="___vl2" localSheetId="11" hidden="1">{"'Sheet1'!$L$16"}</definedName>
    <definedName name="___vl2" localSheetId="12" hidden="1">{"'Sheet1'!$L$16"}</definedName>
    <definedName name="___vl2" localSheetId="13" hidden="1">{"'Sheet1'!$L$16"}</definedName>
    <definedName name="___vl2" hidden="1">{"'Sheet1'!$L$16"}</definedName>
    <definedName name="___VM2" localSheetId="6" hidden="1">{"'Sheet1'!$L$16"}</definedName>
    <definedName name="___VM2" localSheetId="7" hidden="1">{"'Sheet1'!$L$16"}</definedName>
    <definedName name="___VM2" localSheetId="9" hidden="1">{"'Sheet1'!$L$16"}</definedName>
    <definedName name="___VM2" localSheetId="10" hidden="1">{"'Sheet1'!$L$16"}</definedName>
    <definedName name="___VM2" localSheetId="14" hidden="1">{"'Sheet1'!$L$16"}</definedName>
    <definedName name="___VM2" localSheetId="11" hidden="1">{"'Sheet1'!$L$16"}</definedName>
    <definedName name="___VM2" localSheetId="12" hidden="1">{"'Sheet1'!$L$16"}</definedName>
    <definedName name="___VM2" localSheetId="13" hidden="1">{"'Sheet1'!$L$16"}</definedName>
    <definedName name="___VM2" hidden="1">{"'Sheet1'!$L$16"}</definedName>
    <definedName name="__a1" localSheetId="6" hidden="1">{"'Sheet1'!$L$16"}</definedName>
    <definedName name="__a1" localSheetId="7" hidden="1">{"'Sheet1'!$L$16"}</definedName>
    <definedName name="__a1" localSheetId="9" hidden="1">{"'Sheet1'!$L$16"}</definedName>
    <definedName name="__a1" localSheetId="10" hidden="1">{"'Sheet1'!$L$16"}</definedName>
    <definedName name="__a1" localSheetId="14" hidden="1">{"'Sheet1'!$L$16"}</definedName>
    <definedName name="__a1" localSheetId="11" hidden="1">{"'Sheet1'!$L$16"}</definedName>
    <definedName name="__a1" localSheetId="12" hidden="1">{"'Sheet1'!$L$16"}</definedName>
    <definedName name="__a1" localSheetId="13" hidden="1">{"'Sheet1'!$L$16"}</definedName>
    <definedName name="__a1" hidden="1">{"'Sheet1'!$L$16"}</definedName>
    <definedName name="__ban2" localSheetId="6" hidden="1">{"'Sheet1'!$L$16"}</definedName>
    <definedName name="__ban2" localSheetId="7" hidden="1">{"'Sheet1'!$L$16"}</definedName>
    <definedName name="__ban2" localSheetId="9" hidden="1">{"'Sheet1'!$L$16"}</definedName>
    <definedName name="__ban2" localSheetId="10" hidden="1">{"'Sheet1'!$L$16"}</definedName>
    <definedName name="__ban2" localSheetId="14" hidden="1">{"'Sheet1'!$L$16"}</definedName>
    <definedName name="__ban2" localSheetId="11" hidden="1">{"'Sheet1'!$L$16"}</definedName>
    <definedName name="__ban2" localSheetId="12" hidden="1">{"'Sheet1'!$L$16"}</definedName>
    <definedName name="__ban2" localSheetId="13" hidden="1">{"'Sheet1'!$L$16"}</definedName>
    <definedName name="__ban2" hidden="1">{"'Sheet1'!$L$16"}</definedName>
    <definedName name="__cep1" localSheetId="6" hidden="1">{"'Sheet1'!$L$16"}</definedName>
    <definedName name="__cep1" localSheetId="7" hidden="1">{"'Sheet1'!$L$16"}</definedName>
    <definedName name="__cep1" localSheetId="9" hidden="1">{"'Sheet1'!$L$16"}</definedName>
    <definedName name="__cep1" localSheetId="10" hidden="1">{"'Sheet1'!$L$16"}</definedName>
    <definedName name="__cep1" localSheetId="14" hidden="1">{"'Sheet1'!$L$16"}</definedName>
    <definedName name="__cep1" localSheetId="11" hidden="1">{"'Sheet1'!$L$16"}</definedName>
    <definedName name="__cep1" localSheetId="12" hidden="1">{"'Sheet1'!$L$16"}</definedName>
    <definedName name="__cep1" localSheetId="13" hidden="1">{"'Sheet1'!$L$16"}</definedName>
    <definedName name="__cep1" hidden="1">{"'Sheet1'!$L$16"}</definedName>
    <definedName name="__Coc39" localSheetId="6" hidden="1">{"'Sheet1'!$L$16"}</definedName>
    <definedName name="__Coc39" localSheetId="7" hidden="1">{"'Sheet1'!$L$16"}</definedName>
    <definedName name="__Coc39" localSheetId="9" hidden="1">{"'Sheet1'!$L$16"}</definedName>
    <definedName name="__Coc39" localSheetId="10" hidden="1">{"'Sheet1'!$L$16"}</definedName>
    <definedName name="__Coc39" localSheetId="14" hidden="1">{"'Sheet1'!$L$16"}</definedName>
    <definedName name="__Coc39" localSheetId="11" hidden="1">{"'Sheet1'!$L$16"}</definedName>
    <definedName name="__Coc39" localSheetId="12" hidden="1">{"'Sheet1'!$L$16"}</definedName>
    <definedName name="__Coc39" localSheetId="13" hidden="1">{"'Sheet1'!$L$16"}</definedName>
    <definedName name="__Coc39" hidden="1">{"'Sheet1'!$L$16"}</definedName>
    <definedName name="__Goi8" localSheetId="6" hidden="1">{"'Sheet1'!$L$16"}</definedName>
    <definedName name="__Goi8" localSheetId="7" hidden="1">{"'Sheet1'!$L$16"}</definedName>
    <definedName name="__Goi8" localSheetId="9" hidden="1">{"'Sheet1'!$L$16"}</definedName>
    <definedName name="__Goi8" localSheetId="10" hidden="1">{"'Sheet1'!$L$16"}</definedName>
    <definedName name="__Goi8" localSheetId="14" hidden="1">{"'Sheet1'!$L$16"}</definedName>
    <definedName name="__Goi8" localSheetId="11" hidden="1">{"'Sheet1'!$L$16"}</definedName>
    <definedName name="__Goi8" localSheetId="12" hidden="1">{"'Sheet1'!$L$16"}</definedName>
    <definedName name="__Goi8" localSheetId="13" hidden="1">{"'Sheet1'!$L$16"}</definedName>
    <definedName name="__Goi8" hidden="1">{"'Sheet1'!$L$16"}</definedName>
    <definedName name="__h1" localSheetId="6" hidden="1">{"'Sheet1'!$L$16"}</definedName>
    <definedName name="__h1" localSheetId="7" hidden="1">{"'Sheet1'!$L$16"}</definedName>
    <definedName name="__h1" localSheetId="9" hidden="1">{"'Sheet1'!$L$16"}</definedName>
    <definedName name="__h1" localSheetId="10" hidden="1">{"'Sheet1'!$L$16"}</definedName>
    <definedName name="__h1" localSheetId="14" hidden="1">{"'Sheet1'!$L$16"}</definedName>
    <definedName name="__h1" localSheetId="11" hidden="1">{"'Sheet1'!$L$16"}</definedName>
    <definedName name="__h1" localSheetId="12" hidden="1">{"'Sheet1'!$L$16"}</definedName>
    <definedName name="__h1" localSheetId="13" hidden="1">{"'Sheet1'!$L$16"}</definedName>
    <definedName name="__h1" hidden="1">{"'Sheet1'!$L$16"}</definedName>
    <definedName name="__h10" localSheetId="6" hidden="1">{#N/A,#N/A,FALSE,"Chi tiÆt"}</definedName>
    <definedName name="__h10" localSheetId="7" hidden="1">{#N/A,#N/A,FALSE,"Chi tiÆt"}</definedName>
    <definedName name="__h10" localSheetId="9" hidden="1">{#N/A,#N/A,FALSE,"Chi tiÆt"}</definedName>
    <definedName name="__h10" localSheetId="10" hidden="1">{#N/A,#N/A,FALSE,"Chi tiÆt"}</definedName>
    <definedName name="__h10" localSheetId="14" hidden="1">{#N/A,#N/A,FALSE,"Chi tiÆt"}</definedName>
    <definedName name="__h10" localSheetId="11" hidden="1">{#N/A,#N/A,FALSE,"Chi tiÆt"}</definedName>
    <definedName name="__h10" localSheetId="12" hidden="1">{#N/A,#N/A,FALSE,"Chi tiÆt"}</definedName>
    <definedName name="__h10" localSheetId="13" hidden="1">{#N/A,#N/A,FALSE,"Chi tiÆt"}</definedName>
    <definedName name="__h10" hidden="1">{#N/A,#N/A,FALSE,"Chi tiÆt"}</definedName>
    <definedName name="__h2" localSheetId="6" hidden="1">{"'Sheet1'!$L$16"}</definedName>
    <definedName name="__h2" localSheetId="7" hidden="1">{"'Sheet1'!$L$16"}</definedName>
    <definedName name="__h2" localSheetId="9" hidden="1">{"'Sheet1'!$L$16"}</definedName>
    <definedName name="__h2" localSheetId="10" hidden="1">{"'Sheet1'!$L$16"}</definedName>
    <definedName name="__h2" localSheetId="14" hidden="1">{"'Sheet1'!$L$16"}</definedName>
    <definedName name="__h2" localSheetId="11" hidden="1">{"'Sheet1'!$L$16"}</definedName>
    <definedName name="__h2" localSheetId="12" hidden="1">{"'Sheet1'!$L$16"}</definedName>
    <definedName name="__h2" localSheetId="13" hidden="1">{"'Sheet1'!$L$16"}</definedName>
    <definedName name="__h2" hidden="1">{"'Sheet1'!$L$16"}</definedName>
    <definedName name="__h3" localSheetId="6" hidden="1">{"'Sheet1'!$L$16"}</definedName>
    <definedName name="__h3" localSheetId="7" hidden="1">{"'Sheet1'!$L$16"}</definedName>
    <definedName name="__h3" localSheetId="9" hidden="1">{"'Sheet1'!$L$16"}</definedName>
    <definedName name="__h3" localSheetId="10" hidden="1">{"'Sheet1'!$L$16"}</definedName>
    <definedName name="__h3" localSheetId="14" hidden="1">{"'Sheet1'!$L$16"}</definedName>
    <definedName name="__h3" localSheetId="11" hidden="1">{"'Sheet1'!$L$16"}</definedName>
    <definedName name="__h3" localSheetId="12" hidden="1">{"'Sheet1'!$L$16"}</definedName>
    <definedName name="__h3" localSheetId="13" hidden="1">{"'Sheet1'!$L$16"}</definedName>
    <definedName name="__h3" hidden="1">{"'Sheet1'!$L$16"}</definedName>
    <definedName name="__h5" localSheetId="6" hidden="1">{"'Sheet1'!$L$16"}</definedName>
    <definedName name="__h5" localSheetId="7" hidden="1">{"'Sheet1'!$L$16"}</definedName>
    <definedName name="__h5" localSheetId="9" hidden="1">{"'Sheet1'!$L$16"}</definedName>
    <definedName name="__h5" localSheetId="10" hidden="1">{"'Sheet1'!$L$16"}</definedName>
    <definedName name="__h5" localSheetId="14" hidden="1">{"'Sheet1'!$L$16"}</definedName>
    <definedName name="__h5" localSheetId="11" hidden="1">{"'Sheet1'!$L$16"}</definedName>
    <definedName name="__h5" localSheetId="12" hidden="1">{"'Sheet1'!$L$16"}</definedName>
    <definedName name="__h5" localSheetId="13" hidden="1">{"'Sheet1'!$L$16"}</definedName>
    <definedName name="__h5" hidden="1">{"'Sheet1'!$L$16"}</definedName>
    <definedName name="__h6" localSheetId="6" hidden="1">{"'Sheet1'!$L$16"}</definedName>
    <definedName name="__h6" localSheetId="7" hidden="1">{"'Sheet1'!$L$16"}</definedName>
    <definedName name="__h6" localSheetId="9" hidden="1">{"'Sheet1'!$L$16"}</definedName>
    <definedName name="__h6" localSheetId="10" hidden="1">{"'Sheet1'!$L$16"}</definedName>
    <definedName name="__h6" localSheetId="14" hidden="1">{"'Sheet1'!$L$16"}</definedName>
    <definedName name="__h6" localSheetId="11" hidden="1">{"'Sheet1'!$L$16"}</definedName>
    <definedName name="__h6" localSheetId="12" hidden="1">{"'Sheet1'!$L$16"}</definedName>
    <definedName name="__h6" localSheetId="13" hidden="1">{"'Sheet1'!$L$16"}</definedName>
    <definedName name="__h6" hidden="1">{"'Sheet1'!$L$16"}</definedName>
    <definedName name="__h7" localSheetId="6" hidden="1">{"'Sheet1'!$L$16"}</definedName>
    <definedName name="__h7" localSheetId="7" hidden="1">{"'Sheet1'!$L$16"}</definedName>
    <definedName name="__h7" localSheetId="9" hidden="1">{"'Sheet1'!$L$16"}</definedName>
    <definedName name="__h7" localSheetId="10" hidden="1">{"'Sheet1'!$L$16"}</definedName>
    <definedName name="__h7" localSheetId="14" hidden="1">{"'Sheet1'!$L$16"}</definedName>
    <definedName name="__h7" localSheetId="11" hidden="1">{"'Sheet1'!$L$16"}</definedName>
    <definedName name="__h7" localSheetId="12" hidden="1">{"'Sheet1'!$L$16"}</definedName>
    <definedName name="__h7" localSheetId="13" hidden="1">{"'Sheet1'!$L$16"}</definedName>
    <definedName name="__h7" hidden="1">{"'Sheet1'!$L$16"}</definedName>
    <definedName name="__h8" localSheetId="6" hidden="1">{"'Sheet1'!$L$16"}</definedName>
    <definedName name="__h8" localSheetId="7" hidden="1">{"'Sheet1'!$L$16"}</definedName>
    <definedName name="__h8" localSheetId="9" hidden="1">{"'Sheet1'!$L$16"}</definedName>
    <definedName name="__h8" localSheetId="10" hidden="1">{"'Sheet1'!$L$16"}</definedName>
    <definedName name="__h8" localSheetId="14" hidden="1">{"'Sheet1'!$L$16"}</definedName>
    <definedName name="__h8" localSheetId="11" hidden="1">{"'Sheet1'!$L$16"}</definedName>
    <definedName name="__h8" localSheetId="12" hidden="1">{"'Sheet1'!$L$16"}</definedName>
    <definedName name="__h8" localSheetId="13" hidden="1">{"'Sheet1'!$L$16"}</definedName>
    <definedName name="__h8" hidden="1">{"'Sheet1'!$L$16"}</definedName>
    <definedName name="__h9" localSheetId="6" hidden="1">{"'Sheet1'!$L$16"}</definedName>
    <definedName name="__h9" localSheetId="7" hidden="1">{"'Sheet1'!$L$16"}</definedName>
    <definedName name="__h9" localSheetId="9" hidden="1">{"'Sheet1'!$L$16"}</definedName>
    <definedName name="__h9" localSheetId="10" hidden="1">{"'Sheet1'!$L$16"}</definedName>
    <definedName name="__h9" localSheetId="14" hidden="1">{"'Sheet1'!$L$16"}</definedName>
    <definedName name="__h9" localSheetId="11" hidden="1">{"'Sheet1'!$L$16"}</definedName>
    <definedName name="__h9" localSheetId="12" hidden="1">{"'Sheet1'!$L$16"}</definedName>
    <definedName name="__h9" localSheetId="13" hidden="1">{"'Sheet1'!$L$16"}</definedName>
    <definedName name="__h9" hidden="1">{"'Sheet1'!$L$16"}</definedName>
    <definedName name="__HUY1" localSheetId="6" hidden="1">{"'Sheet1'!$L$16"}</definedName>
    <definedName name="__HUY1" localSheetId="7" hidden="1">{"'Sheet1'!$L$16"}</definedName>
    <definedName name="__HUY1" localSheetId="9" hidden="1">{"'Sheet1'!$L$16"}</definedName>
    <definedName name="__HUY1" localSheetId="10" hidden="1">{"'Sheet1'!$L$16"}</definedName>
    <definedName name="__HUY1" localSheetId="14" hidden="1">{"'Sheet1'!$L$16"}</definedName>
    <definedName name="__HUY1" localSheetId="11" hidden="1">{"'Sheet1'!$L$16"}</definedName>
    <definedName name="__HUY1" localSheetId="12" hidden="1">{"'Sheet1'!$L$16"}</definedName>
    <definedName name="__HUY1" localSheetId="13" hidden="1">{"'Sheet1'!$L$16"}</definedName>
    <definedName name="__HUY1" hidden="1">{"'Sheet1'!$L$16"}</definedName>
    <definedName name="__HUY2" localSheetId="6" hidden="1">{"'Sheet1'!$L$16"}</definedName>
    <definedName name="__HUY2" localSheetId="7" hidden="1">{"'Sheet1'!$L$16"}</definedName>
    <definedName name="__HUY2" localSheetId="9" hidden="1">{"'Sheet1'!$L$16"}</definedName>
    <definedName name="__HUY2" localSheetId="10" hidden="1">{"'Sheet1'!$L$16"}</definedName>
    <definedName name="__HUY2" localSheetId="14" hidden="1">{"'Sheet1'!$L$16"}</definedName>
    <definedName name="__HUY2" localSheetId="11" hidden="1">{"'Sheet1'!$L$16"}</definedName>
    <definedName name="__HUY2" localSheetId="12" hidden="1">{"'Sheet1'!$L$16"}</definedName>
    <definedName name="__HUY2" localSheetId="13" hidden="1">{"'Sheet1'!$L$16"}</definedName>
    <definedName name="__HUY2" hidden="1">{"'Sheet1'!$L$16"}</definedName>
    <definedName name="__Lan1" localSheetId="6" hidden="1">{"'Sheet1'!$L$16"}</definedName>
    <definedName name="__Lan1" localSheetId="7" hidden="1">{"'Sheet1'!$L$16"}</definedName>
    <definedName name="__Lan1" localSheetId="9" hidden="1">{"'Sheet1'!$L$16"}</definedName>
    <definedName name="__Lan1" localSheetId="10" hidden="1">{"'Sheet1'!$L$16"}</definedName>
    <definedName name="__Lan1" localSheetId="14" hidden="1">{"'Sheet1'!$L$16"}</definedName>
    <definedName name="__Lan1" localSheetId="11" hidden="1">{"'Sheet1'!$L$16"}</definedName>
    <definedName name="__Lan1" localSheetId="12" hidden="1">{"'Sheet1'!$L$16"}</definedName>
    <definedName name="__Lan1" localSheetId="13" hidden="1">{"'Sheet1'!$L$16"}</definedName>
    <definedName name="__Lan1" hidden="1">{"'Sheet1'!$L$16"}</definedName>
    <definedName name="__LAN3" localSheetId="6" hidden="1">{"'Sheet1'!$L$16"}</definedName>
    <definedName name="__LAN3" localSheetId="7" hidden="1">{"'Sheet1'!$L$16"}</definedName>
    <definedName name="__LAN3" localSheetId="9" hidden="1">{"'Sheet1'!$L$16"}</definedName>
    <definedName name="__LAN3" localSheetId="10" hidden="1">{"'Sheet1'!$L$16"}</definedName>
    <definedName name="__LAN3" localSheetId="14" hidden="1">{"'Sheet1'!$L$16"}</definedName>
    <definedName name="__LAN3" localSheetId="11" hidden="1">{"'Sheet1'!$L$16"}</definedName>
    <definedName name="__LAN3" localSheetId="12" hidden="1">{"'Sheet1'!$L$16"}</definedName>
    <definedName name="__LAN3" localSheetId="13" hidden="1">{"'Sheet1'!$L$16"}</definedName>
    <definedName name="__LAN3" hidden="1">{"'Sheet1'!$L$16"}</definedName>
    <definedName name="__lk2" localSheetId="6" hidden="1">{"'Sheet1'!$L$16"}</definedName>
    <definedName name="__lk2" localSheetId="7" hidden="1">{"'Sheet1'!$L$16"}</definedName>
    <definedName name="__lk2" localSheetId="9" hidden="1">{"'Sheet1'!$L$16"}</definedName>
    <definedName name="__lk2" localSheetId="10" hidden="1">{"'Sheet1'!$L$16"}</definedName>
    <definedName name="__lk2" localSheetId="14" hidden="1">{"'Sheet1'!$L$16"}</definedName>
    <definedName name="__lk2" localSheetId="11" hidden="1">{"'Sheet1'!$L$16"}</definedName>
    <definedName name="__lk2" localSheetId="12" hidden="1">{"'Sheet1'!$L$16"}</definedName>
    <definedName name="__lk2" localSheetId="13" hidden="1">{"'Sheet1'!$L$16"}</definedName>
    <definedName name="__lk2" hidden="1">{"'Sheet1'!$L$16"}</definedName>
    <definedName name="__NSO2" localSheetId="6" hidden="1">{"'Sheet1'!$L$16"}</definedName>
    <definedName name="__NSO2" localSheetId="7" hidden="1">{"'Sheet1'!$L$16"}</definedName>
    <definedName name="__NSO2" localSheetId="9" hidden="1">{"'Sheet1'!$L$16"}</definedName>
    <definedName name="__NSO2" localSheetId="10" hidden="1">{"'Sheet1'!$L$16"}</definedName>
    <definedName name="__NSO2" localSheetId="14" hidden="1">{"'Sheet1'!$L$16"}</definedName>
    <definedName name="__NSO2" localSheetId="11" hidden="1">{"'Sheet1'!$L$16"}</definedName>
    <definedName name="__NSO2" localSheetId="12" hidden="1">{"'Sheet1'!$L$16"}</definedName>
    <definedName name="__NSO2" localSheetId="13" hidden="1">{"'Sheet1'!$L$16"}</definedName>
    <definedName name="__NSO2" hidden="1">{"'Sheet1'!$L$16"}</definedName>
    <definedName name="__PA3" localSheetId="6" hidden="1">{"'Sheet1'!$L$16"}</definedName>
    <definedName name="__PA3" localSheetId="7" hidden="1">{"'Sheet1'!$L$16"}</definedName>
    <definedName name="__PA3" localSheetId="9" hidden="1">{"'Sheet1'!$L$16"}</definedName>
    <definedName name="__PA3" localSheetId="10" hidden="1">{"'Sheet1'!$L$16"}</definedName>
    <definedName name="__PA3" localSheetId="14" hidden="1">{"'Sheet1'!$L$16"}</definedName>
    <definedName name="__PA3" localSheetId="11" hidden="1">{"'Sheet1'!$L$16"}</definedName>
    <definedName name="__PA3" localSheetId="12" hidden="1">{"'Sheet1'!$L$16"}</definedName>
    <definedName name="__PA3" localSheetId="13" hidden="1">{"'Sheet1'!$L$16"}</definedName>
    <definedName name="__PA3" hidden="1">{"'Sheet1'!$L$16"}</definedName>
    <definedName name="__Pl2" localSheetId="6" hidden="1">{"'Sheet1'!$L$16"}</definedName>
    <definedName name="__Pl2" localSheetId="7" hidden="1">{"'Sheet1'!$L$16"}</definedName>
    <definedName name="__Pl2" localSheetId="9" hidden="1">{"'Sheet1'!$L$16"}</definedName>
    <definedName name="__Pl2" localSheetId="10" hidden="1">{"'Sheet1'!$L$16"}</definedName>
    <definedName name="__Pl2" localSheetId="14" hidden="1">{"'Sheet1'!$L$16"}</definedName>
    <definedName name="__Pl2" localSheetId="11" hidden="1">{"'Sheet1'!$L$16"}</definedName>
    <definedName name="__Pl2" localSheetId="12" hidden="1">{"'Sheet1'!$L$16"}</definedName>
    <definedName name="__Pl2" localSheetId="13" hidden="1">{"'Sheet1'!$L$16"}</definedName>
    <definedName name="__Pl2" hidden="1">{"'Sheet1'!$L$16"}</definedName>
    <definedName name="__tt3" localSheetId="6" hidden="1">{"'Sheet1'!$L$16"}</definedName>
    <definedName name="__tt3" localSheetId="7" hidden="1">{"'Sheet1'!$L$16"}</definedName>
    <definedName name="__tt3" localSheetId="9" hidden="1">{"'Sheet1'!$L$16"}</definedName>
    <definedName name="__tt3" localSheetId="10" hidden="1">{"'Sheet1'!$L$16"}</definedName>
    <definedName name="__tt3" localSheetId="14" hidden="1">{"'Sheet1'!$L$16"}</definedName>
    <definedName name="__tt3" localSheetId="11" hidden="1">{"'Sheet1'!$L$16"}</definedName>
    <definedName name="__tt3" localSheetId="12" hidden="1">{"'Sheet1'!$L$16"}</definedName>
    <definedName name="__tt3" localSheetId="13" hidden="1">{"'Sheet1'!$L$16"}</definedName>
    <definedName name="__tt3" hidden="1">{"'Sheet1'!$L$16"}</definedName>
    <definedName name="__TT31" localSheetId="6" hidden="1">{"'Sheet1'!$L$16"}</definedName>
    <definedName name="__TT31" localSheetId="7" hidden="1">{"'Sheet1'!$L$16"}</definedName>
    <definedName name="__TT31" localSheetId="9" hidden="1">{"'Sheet1'!$L$16"}</definedName>
    <definedName name="__TT31" localSheetId="10" hidden="1">{"'Sheet1'!$L$16"}</definedName>
    <definedName name="__TT31" localSheetId="14" hidden="1">{"'Sheet1'!$L$16"}</definedName>
    <definedName name="__TT31" localSheetId="11" hidden="1">{"'Sheet1'!$L$16"}</definedName>
    <definedName name="__TT31" localSheetId="12" hidden="1">{"'Sheet1'!$L$16"}</definedName>
    <definedName name="__TT31" localSheetId="13" hidden="1">{"'Sheet1'!$L$16"}</definedName>
    <definedName name="__TT31" hidden="1">{"'Sheet1'!$L$16"}</definedName>
    <definedName name="__Tru21" localSheetId="6" hidden="1">{"'Sheet1'!$L$16"}</definedName>
    <definedName name="__Tru21" localSheetId="7" hidden="1">{"'Sheet1'!$L$16"}</definedName>
    <definedName name="__Tru21" localSheetId="9" hidden="1">{"'Sheet1'!$L$16"}</definedName>
    <definedName name="__Tru21" localSheetId="10" hidden="1">{"'Sheet1'!$L$16"}</definedName>
    <definedName name="__Tru21" localSheetId="14" hidden="1">{"'Sheet1'!$L$16"}</definedName>
    <definedName name="__Tru21" localSheetId="11" hidden="1">{"'Sheet1'!$L$16"}</definedName>
    <definedName name="__Tru21" localSheetId="12" hidden="1">{"'Sheet1'!$L$16"}</definedName>
    <definedName name="__Tru21" localSheetId="13" hidden="1">{"'Sheet1'!$L$16"}</definedName>
    <definedName name="__Tru21" hidden="1">{"'Sheet1'!$L$16"}</definedName>
    <definedName name="__vl2" localSheetId="6" hidden="1">{"'Sheet1'!$L$16"}</definedName>
    <definedName name="__vl2" localSheetId="7" hidden="1">{"'Sheet1'!$L$16"}</definedName>
    <definedName name="__vl2" localSheetId="9" hidden="1">{"'Sheet1'!$L$16"}</definedName>
    <definedName name="__vl2" localSheetId="10" hidden="1">{"'Sheet1'!$L$16"}</definedName>
    <definedName name="__vl2" localSheetId="14" hidden="1">{"'Sheet1'!$L$16"}</definedName>
    <definedName name="__vl2" localSheetId="11" hidden="1">{"'Sheet1'!$L$16"}</definedName>
    <definedName name="__vl2" localSheetId="12" hidden="1">{"'Sheet1'!$L$16"}</definedName>
    <definedName name="__vl2" localSheetId="13" hidden="1">{"'Sheet1'!$L$16"}</definedName>
    <definedName name="__vl2" hidden="1">{"'Sheet1'!$L$16"}</definedName>
    <definedName name="__VM2" localSheetId="6" hidden="1">{"'Sheet1'!$L$16"}</definedName>
    <definedName name="__VM2" localSheetId="7" hidden="1">{"'Sheet1'!$L$16"}</definedName>
    <definedName name="__VM2" localSheetId="9" hidden="1">{"'Sheet1'!$L$16"}</definedName>
    <definedName name="__VM2" localSheetId="10" hidden="1">{"'Sheet1'!$L$16"}</definedName>
    <definedName name="__VM2" localSheetId="14" hidden="1">{"'Sheet1'!$L$16"}</definedName>
    <definedName name="__VM2" localSheetId="11" hidden="1">{"'Sheet1'!$L$16"}</definedName>
    <definedName name="__VM2" localSheetId="12" hidden="1">{"'Sheet1'!$L$16"}</definedName>
    <definedName name="__VM2" localSheetId="13" hidden="1">{"'Sheet1'!$L$16"}</definedName>
    <definedName name="__VM2" hidden="1">{"'Sheet1'!$L$16"}</definedName>
    <definedName name="_ban2" localSheetId="6" hidden="1">{"'Sheet1'!$L$16"}</definedName>
    <definedName name="_ban2" localSheetId="7" hidden="1">{"'Sheet1'!$L$16"}</definedName>
    <definedName name="_ban2" localSheetId="9" hidden="1">{"'Sheet1'!$L$16"}</definedName>
    <definedName name="_ban2" localSheetId="10" hidden="1">{"'Sheet1'!$L$16"}</definedName>
    <definedName name="_ban2" localSheetId="14" hidden="1">{"'Sheet1'!$L$16"}</definedName>
    <definedName name="_ban2" localSheetId="11" hidden="1">{"'Sheet1'!$L$16"}</definedName>
    <definedName name="_ban2" localSheetId="12" hidden="1">{"'Sheet1'!$L$16"}</definedName>
    <definedName name="_ban2" localSheetId="13" hidden="1">{"'Sheet1'!$L$16"}</definedName>
    <definedName name="_ban2" hidden="1">{"'Sheet1'!$L$16"}</definedName>
    <definedName name="_cep1" localSheetId="6" hidden="1">{"'Sheet1'!$L$16"}</definedName>
    <definedName name="_cep1" localSheetId="7" hidden="1">{"'Sheet1'!$L$16"}</definedName>
    <definedName name="_cep1" localSheetId="9" hidden="1">{"'Sheet1'!$L$16"}</definedName>
    <definedName name="_cep1" localSheetId="10" hidden="1">{"'Sheet1'!$L$16"}</definedName>
    <definedName name="_cep1" localSheetId="14" hidden="1">{"'Sheet1'!$L$16"}</definedName>
    <definedName name="_cep1" localSheetId="11" hidden="1">{"'Sheet1'!$L$16"}</definedName>
    <definedName name="_cep1" localSheetId="12" hidden="1">{"'Sheet1'!$L$16"}</definedName>
    <definedName name="_cep1" localSheetId="13" hidden="1">{"'Sheet1'!$L$16"}</definedName>
    <definedName name="_cep1" hidden="1">{"'Sheet1'!$L$16"}</definedName>
    <definedName name="_Coc39" localSheetId="6" hidden="1">{"'Sheet1'!$L$16"}</definedName>
    <definedName name="_Coc39" localSheetId="7" hidden="1">{"'Sheet1'!$L$16"}</definedName>
    <definedName name="_Coc39" localSheetId="9" hidden="1">{"'Sheet1'!$L$16"}</definedName>
    <definedName name="_Coc39" localSheetId="10" hidden="1">{"'Sheet1'!$L$16"}</definedName>
    <definedName name="_Coc39" localSheetId="14" hidden="1">{"'Sheet1'!$L$16"}</definedName>
    <definedName name="_Coc39" localSheetId="11" hidden="1">{"'Sheet1'!$L$16"}</definedName>
    <definedName name="_Coc39" localSheetId="12" hidden="1">{"'Sheet1'!$L$16"}</definedName>
    <definedName name="_Coc39" localSheetId="13" hidden="1">{"'Sheet1'!$L$16"}</definedName>
    <definedName name="_Coc39" hidden="1">{"'Sheet1'!$L$16"}</definedName>
    <definedName name="_xlnm._FilterDatabase" localSheetId="8" hidden="1">'Bieu 54'!$A$13:$AC$161</definedName>
    <definedName name="_xlnm._FilterDatabase" localSheetId="7" hidden="1">'Bieu 54_Xong'!$A$14:$AE$90</definedName>
    <definedName name="_Goi8" localSheetId="6" hidden="1">{"'Sheet1'!$L$16"}</definedName>
    <definedName name="_Goi8" localSheetId="7" hidden="1">{"'Sheet1'!$L$16"}</definedName>
    <definedName name="_Goi8" localSheetId="9" hidden="1">{"'Sheet1'!$L$16"}</definedName>
    <definedName name="_Goi8" localSheetId="10" hidden="1">{"'Sheet1'!$L$16"}</definedName>
    <definedName name="_Goi8" localSheetId="14" hidden="1">{"'Sheet1'!$L$16"}</definedName>
    <definedName name="_Goi8" localSheetId="11" hidden="1">{"'Sheet1'!$L$16"}</definedName>
    <definedName name="_Goi8" localSheetId="12" hidden="1">{"'Sheet1'!$L$16"}</definedName>
    <definedName name="_Goi8" localSheetId="13" hidden="1">{"'Sheet1'!$L$16"}</definedName>
    <definedName name="_Goi8" hidden="1">{"'Sheet1'!$L$16"}</definedName>
    <definedName name="_h1" localSheetId="6" hidden="1">{"'Sheet1'!$L$16"}</definedName>
    <definedName name="_h1" localSheetId="7" hidden="1">{"'Sheet1'!$L$16"}</definedName>
    <definedName name="_h1" localSheetId="9" hidden="1">{"'Sheet1'!$L$16"}</definedName>
    <definedName name="_h1" localSheetId="10" hidden="1">{"'Sheet1'!$L$16"}</definedName>
    <definedName name="_h1" localSheetId="14" hidden="1">{"'Sheet1'!$L$16"}</definedName>
    <definedName name="_h1" localSheetId="11" hidden="1">{"'Sheet1'!$L$16"}</definedName>
    <definedName name="_h1" localSheetId="12" hidden="1">{"'Sheet1'!$L$16"}</definedName>
    <definedName name="_h1" localSheetId="13" hidden="1">{"'Sheet1'!$L$16"}</definedName>
    <definedName name="_h1" hidden="1">{"'Sheet1'!$L$16"}</definedName>
    <definedName name="_h10" localSheetId="6" hidden="1">{#N/A,#N/A,FALSE,"Chi tiÆt"}</definedName>
    <definedName name="_h10" localSheetId="7" hidden="1">{#N/A,#N/A,FALSE,"Chi tiÆt"}</definedName>
    <definedName name="_h10" localSheetId="9" hidden="1">{#N/A,#N/A,FALSE,"Chi tiÆt"}</definedName>
    <definedName name="_h10" localSheetId="10" hidden="1">{#N/A,#N/A,FALSE,"Chi tiÆt"}</definedName>
    <definedName name="_h10" localSheetId="14" hidden="1">{#N/A,#N/A,FALSE,"Chi tiÆt"}</definedName>
    <definedName name="_h10" localSheetId="11" hidden="1">{#N/A,#N/A,FALSE,"Chi tiÆt"}</definedName>
    <definedName name="_h10" localSheetId="12" hidden="1">{#N/A,#N/A,FALSE,"Chi tiÆt"}</definedName>
    <definedName name="_h10" localSheetId="13" hidden="1">{#N/A,#N/A,FALSE,"Chi tiÆt"}</definedName>
    <definedName name="_h10" hidden="1">{#N/A,#N/A,FALSE,"Chi tiÆt"}</definedName>
    <definedName name="_h2" localSheetId="6" hidden="1">{"'Sheet1'!$L$16"}</definedName>
    <definedName name="_h2" localSheetId="7" hidden="1">{"'Sheet1'!$L$16"}</definedName>
    <definedName name="_h2" localSheetId="9" hidden="1">{"'Sheet1'!$L$16"}</definedName>
    <definedName name="_h2" localSheetId="10" hidden="1">{"'Sheet1'!$L$16"}</definedName>
    <definedName name="_h2" localSheetId="14" hidden="1">{"'Sheet1'!$L$16"}</definedName>
    <definedName name="_h2" localSheetId="11" hidden="1">{"'Sheet1'!$L$16"}</definedName>
    <definedName name="_h2" localSheetId="12" hidden="1">{"'Sheet1'!$L$16"}</definedName>
    <definedName name="_h2" localSheetId="13" hidden="1">{"'Sheet1'!$L$16"}</definedName>
    <definedName name="_h2" hidden="1">{"'Sheet1'!$L$16"}</definedName>
    <definedName name="_h3" localSheetId="6" hidden="1">{"'Sheet1'!$L$16"}</definedName>
    <definedName name="_h3" localSheetId="7" hidden="1">{"'Sheet1'!$L$16"}</definedName>
    <definedName name="_h3" localSheetId="9" hidden="1">{"'Sheet1'!$L$16"}</definedName>
    <definedName name="_h3" localSheetId="10" hidden="1">{"'Sheet1'!$L$16"}</definedName>
    <definedName name="_h3" localSheetId="14" hidden="1">{"'Sheet1'!$L$16"}</definedName>
    <definedName name="_h3" localSheetId="11" hidden="1">{"'Sheet1'!$L$16"}</definedName>
    <definedName name="_h3" localSheetId="12" hidden="1">{"'Sheet1'!$L$16"}</definedName>
    <definedName name="_h3" localSheetId="13" hidden="1">{"'Sheet1'!$L$16"}</definedName>
    <definedName name="_h3" hidden="1">{"'Sheet1'!$L$16"}</definedName>
    <definedName name="_h5" localSheetId="6" hidden="1">{"'Sheet1'!$L$16"}</definedName>
    <definedName name="_h5" localSheetId="7" hidden="1">{"'Sheet1'!$L$16"}</definedName>
    <definedName name="_h5" localSheetId="9" hidden="1">{"'Sheet1'!$L$16"}</definedName>
    <definedName name="_h5" localSheetId="10" hidden="1">{"'Sheet1'!$L$16"}</definedName>
    <definedName name="_h5" localSheetId="14" hidden="1">{"'Sheet1'!$L$16"}</definedName>
    <definedName name="_h5" localSheetId="11" hidden="1">{"'Sheet1'!$L$16"}</definedName>
    <definedName name="_h5" localSheetId="12" hidden="1">{"'Sheet1'!$L$16"}</definedName>
    <definedName name="_h5" localSheetId="13" hidden="1">{"'Sheet1'!$L$16"}</definedName>
    <definedName name="_h5" hidden="1">{"'Sheet1'!$L$16"}</definedName>
    <definedName name="_h6" localSheetId="6" hidden="1">{"'Sheet1'!$L$16"}</definedName>
    <definedName name="_h6" localSheetId="7" hidden="1">{"'Sheet1'!$L$16"}</definedName>
    <definedName name="_h6" localSheetId="9" hidden="1">{"'Sheet1'!$L$16"}</definedName>
    <definedName name="_h6" localSheetId="10" hidden="1">{"'Sheet1'!$L$16"}</definedName>
    <definedName name="_h6" localSheetId="14" hidden="1">{"'Sheet1'!$L$16"}</definedName>
    <definedName name="_h6" localSheetId="11" hidden="1">{"'Sheet1'!$L$16"}</definedName>
    <definedName name="_h6" localSheetId="12" hidden="1">{"'Sheet1'!$L$16"}</definedName>
    <definedName name="_h6" localSheetId="13" hidden="1">{"'Sheet1'!$L$16"}</definedName>
    <definedName name="_h6" hidden="1">{"'Sheet1'!$L$16"}</definedName>
    <definedName name="_h7" localSheetId="6" hidden="1">{"'Sheet1'!$L$16"}</definedName>
    <definedName name="_h7" localSheetId="7" hidden="1">{"'Sheet1'!$L$16"}</definedName>
    <definedName name="_h7" localSheetId="9" hidden="1">{"'Sheet1'!$L$16"}</definedName>
    <definedName name="_h7" localSheetId="10" hidden="1">{"'Sheet1'!$L$16"}</definedName>
    <definedName name="_h7" localSheetId="14" hidden="1">{"'Sheet1'!$L$16"}</definedName>
    <definedName name="_h7" localSheetId="11" hidden="1">{"'Sheet1'!$L$16"}</definedName>
    <definedName name="_h7" localSheetId="12" hidden="1">{"'Sheet1'!$L$16"}</definedName>
    <definedName name="_h7" localSheetId="13" hidden="1">{"'Sheet1'!$L$16"}</definedName>
    <definedName name="_h7" hidden="1">{"'Sheet1'!$L$16"}</definedName>
    <definedName name="_h8" localSheetId="6" hidden="1">{"'Sheet1'!$L$16"}</definedName>
    <definedName name="_h8" localSheetId="7" hidden="1">{"'Sheet1'!$L$16"}</definedName>
    <definedName name="_h8" localSheetId="9" hidden="1">{"'Sheet1'!$L$16"}</definedName>
    <definedName name="_h8" localSheetId="10" hidden="1">{"'Sheet1'!$L$16"}</definedName>
    <definedName name="_h8" localSheetId="14" hidden="1">{"'Sheet1'!$L$16"}</definedName>
    <definedName name="_h8" localSheetId="11" hidden="1">{"'Sheet1'!$L$16"}</definedName>
    <definedName name="_h8" localSheetId="12" hidden="1">{"'Sheet1'!$L$16"}</definedName>
    <definedName name="_h8" localSheetId="13" hidden="1">{"'Sheet1'!$L$16"}</definedName>
    <definedName name="_h8" hidden="1">{"'Sheet1'!$L$16"}</definedName>
    <definedName name="_h9" localSheetId="6" hidden="1">{"'Sheet1'!$L$16"}</definedName>
    <definedName name="_h9" localSheetId="7" hidden="1">{"'Sheet1'!$L$16"}</definedName>
    <definedName name="_h9" localSheetId="9" hidden="1">{"'Sheet1'!$L$16"}</definedName>
    <definedName name="_h9" localSheetId="10" hidden="1">{"'Sheet1'!$L$16"}</definedName>
    <definedName name="_h9" localSheetId="14" hidden="1">{"'Sheet1'!$L$16"}</definedName>
    <definedName name="_h9" localSheetId="11" hidden="1">{"'Sheet1'!$L$16"}</definedName>
    <definedName name="_h9" localSheetId="12" hidden="1">{"'Sheet1'!$L$16"}</definedName>
    <definedName name="_h9" localSheetId="13" hidden="1">{"'Sheet1'!$L$16"}</definedName>
    <definedName name="_h9" hidden="1">{"'Sheet1'!$L$16"}</definedName>
    <definedName name="_HUY1" localSheetId="6" hidden="1">{"'Sheet1'!$L$16"}</definedName>
    <definedName name="_HUY1" localSheetId="7" hidden="1">{"'Sheet1'!$L$16"}</definedName>
    <definedName name="_HUY1" localSheetId="9" hidden="1">{"'Sheet1'!$L$16"}</definedName>
    <definedName name="_HUY1" localSheetId="10" hidden="1">{"'Sheet1'!$L$16"}</definedName>
    <definedName name="_HUY1" localSheetId="14" hidden="1">{"'Sheet1'!$L$16"}</definedName>
    <definedName name="_HUY1" localSheetId="11" hidden="1">{"'Sheet1'!$L$16"}</definedName>
    <definedName name="_HUY1" localSheetId="12" hidden="1">{"'Sheet1'!$L$16"}</definedName>
    <definedName name="_HUY1" localSheetId="13" hidden="1">{"'Sheet1'!$L$16"}</definedName>
    <definedName name="_HUY1" hidden="1">{"'Sheet1'!$L$16"}</definedName>
    <definedName name="_HUY2" localSheetId="6" hidden="1">{"'Sheet1'!$L$16"}</definedName>
    <definedName name="_HUY2" localSheetId="7" hidden="1">{"'Sheet1'!$L$16"}</definedName>
    <definedName name="_HUY2" localSheetId="9" hidden="1">{"'Sheet1'!$L$16"}</definedName>
    <definedName name="_HUY2" localSheetId="10" hidden="1">{"'Sheet1'!$L$16"}</definedName>
    <definedName name="_HUY2" localSheetId="14" hidden="1">{"'Sheet1'!$L$16"}</definedName>
    <definedName name="_HUY2" localSheetId="11" hidden="1">{"'Sheet1'!$L$16"}</definedName>
    <definedName name="_HUY2" localSheetId="12" hidden="1">{"'Sheet1'!$L$16"}</definedName>
    <definedName name="_HUY2" localSheetId="13" hidden="1">{"'Sheet1'!$L$16"}</definedName>
    <definedName name="_HUY2" hidden="1">{"'Sheet1'!$L$16"}</definedName>
    <definedName name="_Key1" localSheetId="6" hidden="1">#REF!</definedName>
    <definedName name="_Key1" localSheetId="7" hidden="1">#REF!</definedName>
    <definedName name="_Key1" localSheetId="9" hidden="1">#REF!</definedName>
    <definedName name="_Key1" localSheetId="10" hidden="1">#REF!</definedName>
    <definedName name="_Key1" localSheetId="14" hidden="1">#REF!</definedName>
    <definedName name="_Key1" localSheetId="11" hidden="1">#REF!</definedName>
    <definedName name="_Key1" hidden="1">#REF!</definedName>
    <definedName name="_Key2" localSheetId="6" hidden="1">#REF!</definedName>
    <definedName name="_Key2" localSheetId="7" hidden="1">#REF!</definedName>
    <definedName name="_Key2" localSheetId="9" hidden="1">#REF!</definedName>
    <definedName name="_Key2" localSheetId="10" hidden="1">#REF!</definedName>
    <definedName name="_Key2" localSheetId="14" hidden="1">#REF!</definedName>
    <definedName name="_Key2" localSheetId="11" hidden="1">#REF!</definedName>
    <definedName name="_Key2" hidden="1">#REF!</definedName>
    <definedName name="_Lan1" localSheetId="6" hidden="1">{"'Sheet1'!$L$16"}</definedName>
    <definedName name="_Lan1" localSheetId="7" hidden="1">{"'Sheet1'!$L$16"}</definedName>
    <definedName name="_Lan1" localSheetId="9" hidden="1">{"'Sheet1'!$L$16"}</definedName>
    <definedName name="_Lan1" localSheetId="10" hidden="1">{"'Sheet1'!$L$16"}</definedName>
    <definedName name="_Lan1" localSheetId="14" hidden="1">{"'Sheet1'!$L$16"}</definedName>
    <definedName name="_Lan1" localSheetId="11" hidden="1">{"'Sheet1'!$L$16"}</definedName>
    <definedName name="_Lan1" localSheetId="12" hidden="1">{"'Sheet1'!$L$16"}</definedName>
    <definedName name="_Lan1" localSheetId="13" hidden="1">{"'Sheet1'!$L$16"}</definedName>
    <definedName name="_Lan1" hidden="1">{"'Sheet1'!$L$16"}</definedName>
    <definedName name="_LAN3" localSheetId="6" hidden="1">{"'Sheet1'!$L$16"}</definedName>
    <definedName name="_LAN3" localSheetId="7" hidden="1">{"'Sheet1'!$L$16"}</definedName>
    <definedName name="_LAN3" localSheetId="9" hidden="1">{"'Sheet1'!$L$16"}</definedName>
    <definedName name="_LAN3" localSheetId="10" hidden="1">{"'Sheet1'!$L$16"}</definedName>
    <definedName name="_LAN3" localSheetId="14" hidden="1">{"'Sheet1'!$L$16"}</definedName>
    <definedName name="_LAN3" localSheetId="11" hidden="1">{"'Sheet1'!$L$16"}</definedName>
    <definedName name="_LAN3" localSheetId="12" hidden="1">{"'Sheet1'!$L$16"}</definedName>
    <definedName name="_LAN3" localSheetId="13" hidden="1">{"'Sheet1'!$L$16"}</definedName>
    <definedName name="_LAN3" hidden="1">{"'Sheet1'!$L$16"}</definedName>
    <definedName name="_lk2" localSheetId="6" hidden="1">{"'Sheet1'!$L$16"}</definedName>
    <definedName name="_lk2" localSheetId="7" hidden="1">{"'Sheet1'!$L$16"}</definedName>
    <definedName name="_lk2" localSheetId="9" hidden="1">{"'Sheet1'!$L$16"}</definedName>
    <definedName name="_lk2" localSheetId="10" hidden="1">{"'Sheet1'!$L$16"}</definedName>
    <definedName name="_lk2" localSheetId="14" hidden="1">{"'Sheet1'!$L$16"}</definedName>
    <definedName name="_lk2" localSheetId="11" hidden="1">{"'Sheet1'!$L$16"}</definedName>
    <definedName name="_lk2" localSheetId="12" hidden="1">{"'Sheet1'!$L$16"}</definedName>
    <definedName name="_lk2" localSheetId="13" hidden="1">{"'Sheet1'!$L$16"}</definedName>
    <definedName name="_lk2" hidden="1">{"'Sheet1'!$L$16"}</definedName>
    <definedName name="_NSO2" localSheetId="6" hidden="1">{"'Sheet1'!$L$16"}</definedName>
    <definedName name="_NSO2" localSheetId="7" hidden="1">{"'Sheet1'!$L$16"}</definedName>
    <definedName name="_NSO2" localSheetId="9" hidden="1">{"'Sheet1'!$L$16"}</definedName>
    <definedName name="_NSO2" localSheetId="10" hidden="1">{"'Sheet1'!$L$16"}</definedName>
    <definedName name="_NSO2" localSheetId="14" hidden="1">{"'Sheet1'!$L$16"}</definedName>
    <definedName name="_NSO2" localSheetId="11" hidden="1">{"'Sheet1'!$L$16"}</definedName>
    <definedName name="_NSO2" localSheetId="12" hidden="1">{"'Sheet1'!$L$16"}</definedName>
    <definedName name="_NSO2" localSheetId="13" hidden="1">{"'Sheet1'!$L$16"}</definedName>
    <definedName name="_NSO2" hidden="1">{"'Sheet1'!$L$16"}</definedName>
    <definedName name="_Order1" hidden="1">255</definedName>
    <definedName name="_Order2" hidden="1">255</definedName>
    <definedName name="_PA3" localSheetId="6" hidden="1">{"'Sheet1'!$L$16"}</definedName>
    <definedName name="_PA3" localSheetId="7" hidden="1">{"'Sheet1'!$L$16"}</definedName>
    <definedName name="_PA3" localSheetId="9" hidden="1">{"'Sheet1'!$L$16"}</definedName>
    <definedName name="_PA3" localSheetId="10" hidden="1">{"'Sheet1'!$L$16"}</definedName>
    <definedName name="_PA3" localSheetId="14" hidden="1">{"'Sheet1'!$L$16"}</definedName>
    <definedName name="_PA3" localSheetId="11" hidden="1">{"'Sheet1'!$L$16"}</definedName>
    <definedName name="_PA3" localSheetId="12" hidden="1">{"'Sheet1'!$L$16"}</definedName>
    <definedName name="_PA3" localSheetId="13" hidden="1">{"'Sheet1'!$L$16"}</definedName>
    <definedName name="_PA3" hidden="1">{"'Sheet1'!$L$16"}</definedName>
    <definedName name="_Pl2" localSheetId="6" hidden="1">{"'Sheet1'!$L$16"}</definedName>
    <definedName name="_Pl2" localSheetId="7" hidden="1">{"'Sheet1'!$L$16"}</definedName>
    <definedName name="_Pl2" localSheetId="9" hidden="1">{"'Sheet1'!$L$16"}</definedName>
    <definedName name="_Pl2" localSheetId="10" hidden="1">{"'Sheet1'!$L$16"}</definedName>
    <definedName name="_Pl2" localSheetId="14" hidden="1">{"'Sheet1'!$L$16"}</definedName>
    <definedName name="_Pl2" localSheetId="11" hidden="1">{"'Sheet1'!$L$16"}</definedName>
    <definedName name="_Pl2" localSheetId="12" hidden="1">{"'Sheet1'!$L$16"}</definedName>
    <definedName name="_Pl2" localSheetId="13" hidden="1">{"'Sheet1'!$L$16"}</definedName>
    <definedName name="_Pl2" hidden="1">{"'Sheet1'!$L$16"}</definedName>
    <definedName name="_Sort" localSheetId="6" hidden="1">#REF!</definedName>
    <definedName name="_Sort" localSheetId="7" hidden="1">#REF!</definedName>
    <definedName name="_Sort" localSheetId="9" hidden="1">#REF!</definedName>
    <definedName name="_Sort" localSheetId="10" hidden="1">#REF!</definedName>
    <definedName name="_Sort" localSheetId="14" hidden="1">#REF!</definedName>
    <definedName name="_Sort" localSheetId="11" hidden="1">#REF!</definedName>
    <definedName name="_Sort" hidden="1">#REF!</definedName>
    <definedName name="_tt3" localSheetId="6" hidden="1">{"'Sheet1'!$L$16"}</definedName>
    <definedName name="_tt3" localSheetId="7" hidden="1">{"'Sheet1'!$L$16"}</definedName>
    <definedName name="_tt3" localSheetId="9" hidden="1">{"'Sheet1'!$L$16"}</definedName>
    <definedName name="_tt3" localSheetId="10" hidden="1">{"'Sheet1'!$L$16"}</definedName>
    <definedName name="_tt3" localSheetId="14" hidden="1">{"'Sheet1'!$L$16"}</definedName>
    <definedName name="_tt3" localSheetId="11" hidden="1">{"'Sheet1'!$L$16"}</definedName>
    <definedName name="_tt3" localSheetId="12" hidden="1">{"'Sheet1'!$L$16"}</definedName>
    <definedName name="_tt3" localSheetId="13" hidden="1">{"'Sheet1'!$L$16"}</definedName>
    <definedName name="_tt3" hidden="1">{"'Sheet1'!$L$16"}</definedName>
    <definedName name="_TT31" localSheetId="6" hidden="1">{"'Sheet1'!$L$16"}</definedName>
    <definedName name="_TT31" localSheetId="7" hidden="1">{"'Sheet1'!$L$16"}</definedName>
    <definedName name="_TT31" localSheetId="9" hidden="1">{"'Sheet1'!$L$16"}</definedName>
    <definedName name="_TT31" localSheetId="10" hidden="1">{"'Sheet1'!$L$16"}</definedName>
    <definedName name="_TT31" localSheetId="14" hidden="1">{"'Sheet1'!$L$16"}</definedName>
    <definedName name="_TT31" localSheetId="11" hidden="1">{"'Sheet1'!$L$16"}</definedName>
    <definedName name="_TT31" localSheetId="12" hidden="1">{"'Sheet1'!$L$16"}</definedName>
    <definedName name="_TT31" localSheetId="13" hidden="1">{"'Sheet1'!$L$16"}</definedName>
    <definedName name="_TT31" hidden="1">{"'Sheet1'!$L$16"}</definedName>
    <definedName name="_Tru21" localSheetId="6" hidden="1">{"'Sheet1'!$L$16"}</definedName>
    <definedName name="_Tru21" localSheetId="7" hidden="1">{"'Sheet1'!$L$16"}</definedName>
    <definedName name="_Tru21" localSheetId="9" hidden="1">{"'Sheet1'!$L$16"}</definedName>
    <definedName name="_Tru21" localSheetId="10" hidden="1">{"'Sheet1'!$L$16"}</definedName>
    <definedName name="_Tru21" localSheetId="14" hidden="1">{"'Sheet1'!$L$16"}</definedName>
    <definedName name="_Tru21" localSheetId="11" hidden="1">{"'Sheet1'!$L$16"}</definedName>
    <definedName name="_Tru21" localSheetId="12" hidden="1">{"'Sheet1'!$L$16"}</definedName>
    <definedName name="_Tru21" localSheetId="13" hidden="1">{"'Sheet1'!$L$16"}</definedName>
    <definedName name="_Tru21" hidden="1">{"'Sheet1'!$L$16"}</definedName>
    <definedName name="_vl2" localSheetId="6" hidden="1">{"'Sheet1'!$L$16"}</definedName>
    <definedName name="_vl2" localSheetId="7" hidden="1">{"'Sheet1'!$L$16"}</definedName>
    <definedName name="_vl2" localSheetId="9" hidden="1">{"'Sheet1'!$L$16"}</definedName>
    <definedName name="_vl2" localSheetId="10" hidden="1">{"'Sheet1'!$L$16"}</definedName>
    <definedName name="_vl2" localSheetId="14" hidden="1">{"'Sheet1'!$L$16"}</definedName>
    <definedName name="_vl2" localSheetId="11" hidden="1">{"'Sheet1'!$L$16"}</definedName>
    <definedName name="_vl2" localSheetId="12" hidden="1">{"'Sheet1'!$L$16"}</definedName>
    <definedName name="_vl2" localSheetId="13" hidden="1">{"'Sheet1'!$L$16"}</definedName>
    <definedName name="_vl2" hidden="1">{"'Sheet1'!$L$16"}</definedName>
    <definedName name="_VM2" localSheetId="6" hidden="1">{"'Sheet1'!$L$16"}</definedName>
    <definedName name="_VM2" localSheetId="7" hidden="1">{"'Sheet1'!$L$16"}</definedName>
    <definedName name="_VM2" localSheetId="9" hidden="1">{"'Sheet1'!$L$16"}</definedName>
    <definedName name="_VM2" localSheetId="10" hidden="1">{"'Sheet1'!$L$16"}</definedName>
    <definedName name="_VM2" localSheetId="14" hidden="1">{"'Sheet1'!$L$16"}</definedName>
    <definedName name="_VM2" localSheetId="11" hidden="1">{"'Sheet1'!$L$16"}</definedName>
    <definedName name="_VM2" localSheetId="12" hidden="1">{"'Sheet1'!$L$16"}</definedName>
    <definedName name="_VM2" localSheetId="13" hidden="1">{"'Sheet1'!$L$16"}</definedName>
    <definedName name="_VM2" hidden="1">{"'Sheet1'!$L$16"}</definedName>
    <definedName name="AccessDatabase" hidden="1">"C:\My Documents\LeBinh\Xls\VP Cong ty\FORM.mdb"</definedName>
    <definedName name="ADADADD" localSheetId="6" hidden="1">{"'Sheet1'!$L$16"}</definedName>
    <definedName name="ADADADD" localSheetId="7" hidden="1">{"'Sheet1'!$L$16"}</definedName>
    <definedName name="ADADADD" localSheetId="9" hidden="1">{"'Sheet1'!$L$16"}</definedName>
    <definedName name="ADADADD" localSheetId="10" hidden="1">{"'Sheet1'!$L$16"}</definedName>
    <definedName name="ADADADD" localSheetId="14" hidden="1">{"'Sheet1'!$L$16"}</definedName>
    <definedName name="ADADADD" localSheetId="11" hidden="1">{"'Sheet1'!$L$16"}</definedName>
    <definedName name="ADADADD" localSheetId="12" hidden="1">{"'Sheet1'!$L$16"}</definedName>
    <definedName name="ADADADD" localSheetId="13" hidden="1">{"'Sheet1'!$L$16"}</definedName>
    <definedName name="ADADADD" hidden="1">{"'Sheet1'!$L$16"}</definedName>
    <definedName name="anscount" hidden="1">6</definedName>
    <definedName name="ATGT" localSheetId="6" hidden="1">{"'Sheet1'!$L$16"}</definedName>
    <definedName name="ATGT" localSheetId="7" hidden="1">{"'Sheet1'!$L$16"}</definedName>
    <definedName name="ATGT" localSheetId="9" hidden="1">{"'Sheet1'!$L$16"}</definedName>
    <definedName name="ATGT" localSheetId="10" hidden="1">{"'Sheet1'!$L$16"}</definedName>
    <definedName name="ATGT" localSheetId="14" hidden="1">{"'Sheet1'!$L$16"}</definedName>
    <definedName name="ATGT" localSheetId="11" hidden="1">{"'Sheet1'!$L$16"}</definedName>
    <definedName name="ATGT" localSheetId="12" hidden="1">{"'Sheet1'!$L$16"}</definedName>
    <definedName name="ATGT" localSheetId="13" hidden="1">{"'Sheet1'!$L$16"}</definedName>
    <definedName name="ATGT" hidden="1">{"'Sheet1'!$L$16"}</definedName>
    <definedName name="â" localSheetId="6" hidden="1">{"'Sheet1'!$L$16"}</definedName>
    <definedName name="â" localSheetId="7" hidden="1">{"'Sheet1'!$L$16"}</definedName>
    <definedName name="â" localSheetId="9" hidden="1">{"'Sheet1'!$L$16"}</definedName>
    <definedName name="â" localSheetId="10" hidden="1">{"'Sheet1'!$L$16"}</definedName>
    <definedName name="â" localSheetId="14" hidden="1">{"'Sheet1'!$L$16"}</definedName>
    <definedName name="â" localSheetId="11" hidden="1">{"'Sheet1'!$L$16"}</definedName>
    <definedName name="â" localSheetId="12" hidden="1">{"'Sheet1'!$L$16"}</definedName>
    <definedName name="â" localSheetId="13" hidden="1">{"'Sheet1'!$L$16"}</definedName>
    <definedName name="â" hidden="1">{"'Sheet1'!$L$16"}</definedName>
    <definedName name="b" localSheetId="6" hidden="1">{"'Sheet1'!$L$16"}</definedName>
    <definedName name="b" localSheetId="7" hidden="1">{"'Sheet1'!$L$16"}</definedName>
    <definedName name="b" localSheetId="9" hidden="1">{"'Sheet1'!$L$16"}</definedName>
    <definedName name="b" localSheetId="10" hidden="1">{"'Sheet1'!$L$16"}</definedName>
    <definedName name="b" localSheetId="14" hidden="1">{"'Sheet1'!$L$16"}</definedName>
    <definedName name="b" localSheetId="11" hidden="1">{"'Sheet1'!$L$16"}</definedName>
    <definedName name="b" localSheetId="12" hidden="1">{"'Sheet1'!$L$16"}</definedName>
    <definedName name="b" localSheetId="13" hidden="1">{"'Sheet1'!$L$16"}</definedName>
    <definedName name="b" hidden="1">{"'Sheet1'!$L$16"}</definedName>
    <definedName name="BCBo" localSheetId="6" hidden="1">{"'Sheet1'!$L$16"}</definedName>
    <definedName name="BCBo" localSheetId="7" hidden="1">{"'Sheet1'!$L$16"}</definedName>
    <definedName name="BCBo" localSheetId="9" hidden="1">{"'Sheet1'!$L$16"}</definedName>
    <definedName name="BCBo" localSheetId="10" hidden="1">{"'Sheet1'!$L$16"}</definedName>
    <definedName name="BCBo" localSheetId="14" hidden="1">{"'Sheet1'!$L$16"}</definedName>
    <definedName name="BCBo" localSheetId="11" hidden="1">{"'Sheet1'!$L$16"}</definedName>
    <definedName name="BCBo" localSheetId="12" hidden="1">{"'Sheet1'!$L$16"}</definedName>
    <definedName name="BCBo" localSheetId="13" hidden="1">{"'Sheet1'!$L$16"}</definedName>
    <definedName name="BCBo" hidden="1">{"'Sheet1'!$L$16"}</definedName>
    <definedName name="btnm3" localSheetId="6" hidden="1">{"'Sheet1'!$L$16"}</definedName>
    <definedName name="btnm3" localSheetId="7" hidden="1">{"'Sheet1'!$L$16"}</definedName>
    <definedName name="btnm3" localSheetId="9" hidden="1">{"'Sheet1'!$L$16"}</definedName>
    <definedName name="btnm3" localSheetId="10" hidden="1">{"'Sheet1'!$L$16"}</definedName>
    <definedName name="btnm3" localSheetId="14" hidden="1">{"'Sheet1'!$L$16"}</definedName>
    <definedName name="btnm3" localSheetId="11" hidden="1">{"'Sheet1'!$L$16"}</definedName>
    <definedName name="btnm3" localSheetId="12" hidden="1">{"'Sheet1'!$L$16"}</definedName>
    <definedName name="btnm3" localSheetId="13" hidden="1">{"'Sheet1'!$L$16"}</definedName>
    <definedName name="btnm3" hidden="1">{"'Sheet1'!$L$16"}</definedName>
    <definedName name="Coc_60" localSheetId="6" hidden="1">{"'Sheet1'!$L$16"}</definedName>
    <definedName name="Coc_60" localSheetId="7" hidden="1">{"'Sheet1'!$L$16"}</definedName>
    <definedName name="Coc_60" localSheetId="9" hidden="1">{"'Sheet1'!$L$16"}</definedName>
    <definedName name="Coc_60" localSheetId="10" hidden="1">{"'Sheet1'!$L$16"}</definedName>
    <definedName name="Coc_60" localSheetId="14" hidden="1">{"'Sheet1'!$L$16"}</definedName>
    <definedName name="Coc_60" localSheetId="11" hidden="1">{"'Sheet1'!$L$16"}</definedName>
    <definedName name="Coc_60" localSheetId="12" hidden="1">{"'Sheet1'!$L$16"}</definedName>
    <definedName name="Coc_60" localSheetId="13" hidden="1">{"'Sheet1'!$L$16"}</definedName>
    <definedName name="Coc_60" hidden="1">{"'Sheet1'!$L$16"}</definedName>
    <definedName name="Code" localSheetId="6" hidden="1">#REF!</definedName>
    <definedName name="Code" localSheetId="7" hidden="1">#REF!</definedName>
    <definedName name="Code" localSheetId="9" hidden="1">#REF!</definedName>
    <definedName name="Code" localSheetId="10" hidden="1">#REF!</definedName>
    <definedName name="Code" localSheetId="14" hidden="1">#REF!</definedName>
    <definedName name="Code" localSheetId="11" hidden="1">#REF!</definedName>
    <definedName name="Code" hidden="1">#REF!</definedName>
    <definedName name="CTCT1" localSheetId="6" hidden="1">{"'Sheet1'!$L$16"}</definedName>
    <definedName name="CTCT1" localSheetId="7" hidden="1">{"'Sheet1'!$L$16"}</definedName>
    <definedName name="CTCT1" localSheetId="9" hidden="1">{"'Sheet1'!$L$16"}</definedName>
    <definedName name="CTCT1" localSheetId="10" hidden="1">{"'Sheet1'!$L$16"}</definedName>
    <definedName name="CTCT1" localSheetId="14" hidden="1">{"'Sheet1'!$L$16"}</definedName>
    <definedName name="CTCT1" localSheetId="11" hidden="1">{"'Sheet1'!$L$16"}</definedName>
    <definedName name="CTCT1" localSheetId="12" hidden="1">{"'Sheet1'!$L$16"}</definedName>
    <definedName name="CTCT1" localSheetId="13" hidden="1">{"'Sheet1'!$L$16"}</definedName>
    <definedName name="CTCT1" hidden="1">{"'Sheet1'!$L$16"}</definedName>
    <definedName name="chitietbgiang2" localSheetId="6" hidden="1">{"'Sheet1'!$L$16"}</definedName>
    <definedName name="chitietbgiang2" localSheetId="7" hidden="1">{"'Sheet1'!$L$16"}</definedName>
    <definedName name="chitietbgiang2" localSheetId="9" hidden="1">{"'Sheet1'!$L$16"}</definedName>
    <definedName name="chitietbgiang2" localSheetId="10" hidden="1">{"'Sheet1'!$L$16"}</definedName>
    <definedName name="chitietbgiang2" localSheetId="14" hidden="1">{"'Sheet1'!$L$16"}</definedName>
    <definedName name="chitietbgiang2" localSheetId="11" hidden="1">{"'Sheet1'!$L$16"}</definedName>
    <definedName name="chitietbgiang2" localSheetId="12" hidden="1">{"'Sheet1'!$L$16"}</definedName>
    <definedName name="chitietbgiang2" localSheetId="13" hidden="1">{"'Sheet1'!$L$16"}</definedName>
    <definedName name="chitietbgiang2" hidden="1">{"'Sheet1'!$L$16"}</definedName>
    <definedName name="chuong_phuluc_48_name" localSheetId="2">'Bieu 48_Xong'!$B$2</definedName>
    <definedName name="chuong_phuluc_50_name" localSheetId="3">'Bieu 50'!$B$2</definedName>
    <definedName name="chuong_phuluc_51_name" localSheetId="4">'Bieu 51_Xong'!$B$2</definedName>
    <definedName name="chuong_phuluc_52_name" localSheetId="5">'bieu 52_Xong'!$A$2</definedName>
    <definedName name="chuong_phuluc_53_name" localSheetId="6">'bieu 53_Xong'!$A$2</definedName>
    <definedName name="chuong_phuluc_58_name" localSheetId="9">'Bieu 58_Xong'!$A$2</definedName>
    <definedName name="chuong_phuluc_59_name" localSheetId="10">'Bieu 59_Xong'!$A$2</definedName>
    <definedName name="d" localSheetId="6" hidden="1">{"'Sheet1'!$L$16"}</definedName>
    <definedName name="d" localSheetId="7" hidden="1">{"'Sheet1'!$L$16"}</definedName>
    <definedName name="d" localSheetId="9" hidden="1">{"'Sheet1'!$L$16"}</definedName>
    <definedName name="d" localSheetId="10" hidden="1">{"'Sheet1'!$L$16"}</definedName>
    <definedName name="d" localSheetId="14" hidden="1">{"'Sheet1'!$L$16"}</definedName>
    <definedName name="d" localSheetId="11" hidden="1">{"'Sheet1'!$L$16"}</definedName>
    <definedName name="d" localSheetId="12" hidden="1">{"'Sheet1'!$L$16"}</definedName>
    <definedName name="d" localSheetId="13" hidden="1">{"'Sheet1'!$L$16"}</definedName>
    <definedName name="d" hidden="1">{"'Sheet1'!$L$16"}</definedName>
    <definedName name="data1" localSheetId="6" hidden="1">#REF!</definedName>
    <definedName name="data1" localSheetId="7" hidden="1">#REF!</definedName>
    <definedName name="data1" localSheetId="9" hidden="1">#REF!</definedName>
    <definedName name="data1" localSheetId="10" hidden="1">#REF!</definedName>
    <definedName name="data1" localSheetId="14" hidden="1">#REF!</definedName>
    <definedName name="data1" localSheetId="11" hidden="1">#REF!</definedName>
    <definedName name="data1" hidden="1">#REF!</definedName>
    <definedName name="data2" localSheetId="6" hidden="1">#REF!</definedName>
    <definedName name="data2" localSheetId="7" hidden="1">#REF!</definedName>
    <definedName name="data2" localSheetId="9" hidden="1">#REF!</definedName>
    <definedName name="data2" localSheetId="10" hidden="1">#REF!</definedName>
    <definedName name="data2" localSheetId="14" hidden="1">#REF!</definedName>
    <definedName name="data2" localSheetId="11" hidden="1">#REF!</definedName>
    <definedName name="data2" hidden="1">#REF!</definedName>
    <definedName name="data3" localSheetId="6" hidden="1">#REF!</definedName>
    <definedName name="data3" localSheetId="7" hidden="1">#REF!</definedName>
    <definedName name="data3" localSheetId="9" hidden="1">#REF!</definedName>
    <definedName name="data3" localSheetId="10" hidden="1">#REF!</definedName>
    <definedName name="data3" localSheetId="14" hidden="1">#REF!</definedName>
    <definedName name="data3" localSheetId="11" hidden="1">#REF!</definedName>
    <definedName name="data3" hidden="1">#REF!</definedName>
    <definedName name="DenDK" localSheetId="6" hidden="1">{"'Sheet1'!$L$16"}</definedName>
    <definedName name="DenDK" localSheetId="7" hidden="1">{"'Sheet1'!$L$16"}</definedName>
    <definedName name="DenDK" localSheetId="9" hidden="1">{"'Sheet1'!$L$16"}</definedName>
    <definedName name="DenDK" localSheetId="10" hidden="1">{"'Sheet1'!$L$16"}</definedName>
    <definedName name="DenDK" localSheetId="14" hidden="1">{"'Sheet1'!$L$16"}</definedName>
    <definedName name="DenDK" localSheetId="11" hidden="1">{"'Sheet1'!$L$16"}</definedName>
    <definedName name="DenDK" localSheetId="12" hidden="1">{"'Sheet1'!$L$16"}</definedName>
    <definedName name="DenDK" localSheetId="13" hidden="1">{"'Sheet1'!$L$16"}</definedName>
    <definedName name="DenDK" hidden="1">{"'Sheet1'!$L$16"}</definedName>
    <definedName name="dfg" localSheetId="6" hidden="1">{"'Sheet1'!$L$16"}</definedName>
    <definedName name="dfg" localSheetId="7" hidden="1">{"'Sheet1'!$L$16"}</definedName>
    <definedName name="dfg" localSheetId="9" hidden="1">{"'Sheet1'!$L$16"}</definedName>
    <definedName name="dfg" localSheetId="10" hidden="1">{"'Sheet1'!$L$16"}</definedName>
    <definedName name="dfg" localSheetId="14" hidden="1">{"'Sheet1'!$L$16"}</definedName>
    <definedName name="dfg" localSheetId="11" hidden="1">{"'Sheet1'!$L$16"}</definedName>
    <definedName name="dfg" localSheetId="12" hidden="1">{"'Sheet1'!$L$16"}</definedName>
    <definedName name="dfg" localSheetId="13" hidden="1">{"'Sheet1'!$L$16"}</definedName>
    <definedName name="dfg" hidden="1">{"'Sheet1'!$L$16"}</definedName>
    <definedName name="dgctp2" localSheetId="6" hidden="1">{"'Sheet1'!$L$16"}</definedName>
    <definedName name="dgctp2" localSheetId="7" hidden="1">{"'Sheet1'!$L$16"}</definedName>
    <definedName name="dgctp2" localSheetId="9" hidden="1">{"'Sheet1'!$L$16"}</definedName>
    <definedName name="dgctp2" localSheetId="10" hidden="1">{"'Sheet1'!$L$16"}</definedName>
    <definedName name="dgctp2" localSheetId="14" hidden="1">{"'Sheet1'!$L$16"}</definedName>
    <definedName name="dgctp2" localSheetId="11" hidden="1">{"'Sheet1'!$L$16"}</definedName>
    <definedName name="dgctp2" localSheetId="12" hidden="1">{"'Sheet1'!$L$16"}</definedName>
    <definedName name="dgctp2" localSheetId="13" hidden="1">{"'Sheet1'!$L$16"}</definedName>
    <definedName name="dgctp2" hidden="1">{"'Sheet1'!$L$16"}</definedName>
    <definedName name="Discount" localSheetId="6" hidden="1">#REF!</definedName>
    <definedName name="Discount" localSheetId="7" hidden="1">#REF!</definedName>
    <definedName name="Discount" localSheetId="9" hidden="1">#REF!</definedName>
    <definedName name="Discount" localSheetId="10" hidden="1">#REF!</definedName>
    <definedName name="Discount" localSheetId="14" hidden="1">#REF!</definedName>
    <definedName name="Discount" localSheetId="11" hidden="1">#REF!</definedName>
    <definedName name="Discount" hidden="1">#REF!</definedName>
    <definedName name="display_area_2" localSheetId="6" hidden="1">#REF!</definedName>
    <definedName name="display_area_2" localSheetId="7" hidden="1">#REF!</definedName>
    <definedName name="display_area_2" localSheetId="9" hidden="1">#REF!</definedName>
    <definedName name="display_area_2" localSheetId="10" hidden="1">#REF!</definedName>
    <definedName name="display_area_2" localSheetId="14" hidden="1">#REF!</definedName>
    <definedName name="display_area_2" localSheetId="11" hidden="1">#REF!</definedName>
    <definedName name="display_area_2" hidden="1">#REF!</definedName>
    <definedName name="dsh" localSheetId="6" hidden="1">#REF!</definedName>
    <definedName name="dsh" localSheetId="7" hidden="1">#REF!</definedName>
    <definedName name="dsh" localSheetId="9" hidden="1">#REF!</definedName>
    <definedName name="dsh" localSheetId="10" hidden="1">#REF!</definedName>
    <definedName name="dsh" localSheetId="14" hidden="1">#REF!</definedName>
    <definedName name="dsh" localSheetId="11" hidden="1">#REF!</definedName>
    <definedName name="dsh" hidden="1">#REF!</definedName>
    <definedName name="DUCANH" localSheetId="6" hidden="1">{"'Sheet1'!$L$16"}</definedName>
    <definedName name="DUCANH" localSheetId="7" hidden="1">{"'Sheet1'!$L$16"}</definedName>
    <definedName name="DUCANH" localSheetId="9" hidden="1">{"'Sheet1'!$L$16"}</definedName>
    <definedName name="DUCANH" localSheetId="10" hidden="1">{"'Sheet1'!$L$16"}</definedName>
    <definedName name="DUCANH" localSheetId="14" hidden="1">{"'Sheet1'!$L$16"}</definedName>
    <definedName name="DUCANH" localSheetId="11" hidden="1">{"'Sheet1'!$L$16"}</definedName>
    <definedName name="DUCANH" localSheetId="12" hidden="1">{"'Sheet1'!$L$16"}</definedName>
    <definedName name="DUCANH" localSheetId="13" hidden="1">{"'Sheet1'!$L$16"}</definedName>
    <definedName name="DUCANH" hidden="1">{"'Sheet1'!$L$16"}</definedName>
    <definedName name="E" localSheetId="6" hidden="1">{#N/A,#N/A,FALSE,"BN (2)"}</definedName>
    <definedName name="E" localSheetId="7" hidden="1">{#N/A,#N/A,FALSE,"BN (2)"}</definedName>
    <definedName name="E" localSheetId="9" hidden="1">{#N/A,#N/A,FALSE,"BN (2)"}</definedName>
    <definedName name="E" localSheetId="10" hidden="1">{#N/A,#N/A,FALSE,"BN (2)"}</definedName>
    <definedName name="E" localSheetId="14" hidden="1">{#N/A,#N/A,FALSE,"BN (2)"}</definedName>
    <definedName name="E" localSheetId="11" hidden="1">{#N/A,#N/A,FALSE,"BN (2)"}</definedName>
    <definedName name="E" localSheetId="12" hidden="1">{#N/A,#N/A,FALSE,"BN (2)"}</definedName>
    <definedName name="E" localSheetId="13" hidden="1">{#N/A,#N/A,FALSE,"BN (2)"}</definedName>
    <definedName name="E" hidden="1">{#N/A,#N/A,FALSE,"BN (2)"}</definedName>
    <definedName name="f" localSheetId="6" hidden="1">{"'Sheet1'!$L$16"}</definedName>
    <definedName name="f" localSheetId="7" hidden="1">{"'Sheet1'!$L$16"}</definedName>
    <definedName name="f" localSheetId="9" hidden="1">{"'Sheet1'!$L$16"}</definedName>
    <definedName name="f" localSheetId="10" hidden="1">{"'Sheet1'!$L$16"}</definedName>
    <definedName name="f" localSheetId="14" hidden="1">{"'Sheet1'!$L$16"}</definedName>
    <definedName name="f" localSheetId="11" hidden="1">{"'Sheet1'!$L$16"}</definedName>
    <definedName name="f" localSheetId="12" hidden="1">{"'Sheet1'!$L$16"}</definedName>
    <definedName name="f" localSheetId="13" hidden="1">{"'Sheet1'!$L$16"}</definedName>
    <definedName name="f" hidden="1">{"'Sheet1'!$L$16"}</definedName>
    <definedName name="FCode" localSheetId="6" hidden="1">#REF!</definedName>
    <definedName name="FCode" localSheetId="7" hidden="1">#REF!</definedName>
    <definedName name="FCode" localSheetId="9" hidden="1">#REF!</definedName>
    <definedName name="FCode" localSheetId="10" hidden="1">#REF!</definedName>
    <definedName name="FCode" localSheetId="14" hidden="1">#REF!</definedName>
    <definedName name="FCode" localSheetId="11" hidden="1">#REF!</definedName>
    <definedName name="FCode" hidden="1">#REF!</definedName>
    <definedName name="fsdfdsf" localSheetId="6" hidden="1">{"'Sheet1'!$L$16"}</definedName>
    <definedName name="fsdfdsf" localSheetId="7" hidden="1">{"'Sheet1'!$L$16"}</definedName>
    <definedName name="fsdfdsf" localSheetId="9" hidden="1">{"'Sheet1'!$L$16"}</definedName>
    <definedName name="fsdfdsf" localSheetId="10" hidden="1">{"'Sheet1'!$L$16"}</definedName>
    <definedName name="fsdfdsf" localSheetId="14" hidden="1">{"'Sheet1'!$L$16"}</definedName>
    <definedName name="fsdfdsf" localSheetId="11" hidden="1">{"'Sheet1'!$L$16"}</definedName>
    <definedName name="fsdfdsf" localSheetId="12" hidden="1">{"'Sheet1'!$L$16"}</definedName>
    <definedName name="fsdfdsf" localSheetId="13" hidden="1">{"'Sheet1'!$L$16"}</definedName>
    <definedName name="fsdfdsf" hidden="1">{"'Sheet1'!$L$16"}</definedName>
    <definedName name="g" localSheetId="6" hidden="1">{"'Sheet1'!$L$16"}</definedName>
    <definedName name="g" localSheetId="7" hidden="1">{"'Sheet1'!$L$16"}</definedName>
    <definedName name="g" localSheetId="9" hidden="1">{"'Sheet1'!$L$16"}</definedName>
    <definedName name="g" localSheetId="10" hidden="1">{"'Sheet1'!$L$16"}</definedName>
    <definedName name="g" localSheetId="14" hidden="1">{"'Sheet1'!$L$16"}</definedName>
    <definedName name="g" localSheetId="11" hidden="1">{"'Sheet1'!$L$16"}</definedName>
    <definedName name="g" localSheetId="12" hidden="1">{"'Sheet1'!$L$16"}</definedName>
    <definedName name="g" localSheetId="13" hidden="1">{"'Sheet1'!$L$16"}</definedName>
    <definedName name="g" hidden="1">{"'Sheet1'!$L$16"}</definedName>
    <definedName name="h" localSheetId="6" hidden="1">{"'Sheet1'!$L$16"}</definedName>
    <definedName name="h" localSheetId="7" hidden="1">{"'Sheet1'!$L$16"}</definedName>
    <definedName name="h" localSheetId="9" hidden="1">{"'Sheet1'!$L$16"}</definedName>
    <definedName name="h" localSheetId="10" hidden="1">{"'Sheet1'!$L$16"}</definedName>
    <definedName name="h" localSheetId="14" hidden="1">{"'Sheet1'!$L$16"}</definedName>
    <definedName name="h" localSheetId="11" hidden="1">{"'Sheet1'!$L$16"}</definedName>
    <definedName name="h" localSheetId="12" hidden="1">{"'Sheet1'!$L$16"}</definedName>
    <definedName name="h" localSheetId="13" hidden="1">{"'Sheet1'!$L$16"}</definedName>
    <definedName name="h" hidden="1">{"'Sheet1'!$L$16"}</definedName>
    <definedName name="HANG" localSheetId="6" hidden="1">{#N/A,#N/A,FALSE,"Chi tiÆt"}</definedName>
    <definedName name="HANG" localSheetId="7" hidden="1">{#N/A,#N/A,FALSE,"Chi tiÆt"}</definedName>
    <definedName name="HANG" localSheetId="9" hidden="1">{#N/A,#N/A,FALSE,"Chi tiÆt"}</definedName>
    <definedName name="HANG" localSheetId="10" hidden="1">{#N/A,#N/A,FALSE,"Chi tiÆt"}</definedName>
    <definedName name="HANG" localSheetId="14" hidden="1">{#N/A,#N/A,FALSE,"Chi tiÆt"}</definedName>
    <definedName name="HANG" localSheetId="11" hidden="1">{#N/A,#N/A,FALSE,"Chi tiÆt"}</definedName>
    <definedName name="HANG" localSheetId="12" hidden="1">{#N/A,#N/A,FALSE,"Chi tiÆt"}</definedName>
    <definedName name="HANG" localSheetId="13" hidden="1">{#N/A,#N/A,FALSE,"Chi tiÆt"}</definedName>
    <definedName name="HANG" hidden="1">{#N/A,#N/A,FALSE,"Chi tiÆt"}</definedName>
    <definedName name="hhh" localSheetId="6" hidden="1">{"'Sheet1'!$L$16"}</definedName>
    <definedName name="hhh" localSheetId="7" hidden="1">{"'Sheet1'!$L$16"}</definedName>
    <definedName name="hhh" localSheetId="9" hidden="1">{"'Sheet1'!$L$16"}</definedName>
    <definedName name="hhh" localSheetId="10" hidden="1">{"'Sheet1'!$L$16"}</definedName>
    <definedName name="hhh" localSheetId="14" hidden="1">{"'Sheet1'!$L$16"}</definedName>
    <definedName name="hhh" localSheetId="11" hidden="1">{"'Sheet1'!$L$16"}</definedName>
    <definedName name="hhh" localSheetId="12" hidden="1">{"'Sheet1'!$L$16"}</definedName>
    <definedName name="hhh" localSheetId="13" hidden="1">{"'Sheet1'!$L$16"}</definedName>
    <definedName name="hhh" hidden="1">{"'Sheet1'!$L$16"}</definedName>
    <definedName name="HiddenRows" localSheetId="6" hidden="1">#REF!</definedName>
    <definedName name="HiddenRows" localSheetId="7" hidden="1">#REF!</definedName>
    <definedName name="HiddenRows" localSheetId="9" hidden="1">#REF!</definedName>
    <definedName name="HiddenRows" localSheetId="10" hidden="1">#REF!</definedName>
    <definedName name="HiddenRows" localSheetId="14" hidden="1">#REF!</definedName>
    <definedName name="HiddenRows" localSheetId="11" hidden="1">#REF!</definedName>
    <definedName name="HiddenRows" hidden="1">#REF!</definedName>
    <definedName name="HIHIHIHOI" localSheetId="6" hidden="1">{"'Sheet1'!$L$16"}</definedName>
    <definedName name="HIHIHIHOI" localSheetId="7" hidden="1">{"'Sheet1'!$L$16"}</definedName>
    <definedName name="HIHIHIHOI" localSheetId="9" hidden="1">{"'Sheet1'!$L$16"}</definedName>
    <definedName name="HIHIHIHOI" localSheetId="10" hidden="1">{"'Sheet1'!$L$16"}</definedName>
    <definedName name="HIHIHIHOI" localSheetId="14" hidden="1">{"'Sheet1'!$L$16"}</definedName>
    <definedName name="HIHIHIHOI" localSheetId="11" hidden="1">{"'Sheet1'!$L$16"}</definedName>
    <definedName name="HIHIHIHOI" localSheetId="12" hidden="1">{"'Sheet1'!$L$16"}</definedName>
    <definedName name="HIHIHIHOI" localSheetId="13" hidden="1">{"'Sheet1'!$L$16"}</definedName>
    <definedName name="HIHIHIHOI" hidden="1">{"'Sheet1'!$L$16"}</definedName>
    <definedName name="hj" localSheetId="6" hidden="1">{"'Sheet1'!$L$16"}</definedName>
    <definedName name="hj" localSheetId="7" hidden="1">{"'Sheet1'!$L$16"}</definedName>
    <definedName name="hj" localSheetId="9" hidden="1">{"'Sheet1'!$L$16"}</definedName>
    <definedName name="hj" localSheetId="10" hidden="1">{"'Sheet1'!$L$16"}</definedName>
    <definedName name="hj" localSheetId="14" hidden="1">{"'Sheet1'!$L$16"}</definedName>
    <definedName name="hj" localSheetId="11" hidden="1">{"'Sheet1'!$L$16"}</definedName>
    <definedName name="hj" localSheetId="12" hidden="1">{"'Sheet1'!$L$16"}</definedName>
    <definedName name="hj" localSheetId="13" hidden="1">{"'Sheet1'!$L$16"}</definedName>
    <definedName name="hj" hidden="1">{"'Sheet1'!$L$16"}</definedName>
    <definedName name="HJKL" localSheetId="6" hidden="1">{"'Sheet1'!$L$16"}</definedName>
    <definedName name="HJKL" localSheetId="7" hidden="1">{"'Sheet1'!$L$16"}</definedName>
    <definedName name="HJKL" localSheetId="9" hidden="1">{"'Sheet1'!$L$16"}</definedName>
    <definedName name="HJKL" localSheetId="10" hidden="1">{"'Sheet1'!$L$16"}</definedName>
    <definedName name="HJKL" localSheetId="14" hidden="1">{"'Sheet1'!$L$16"}</definedName>
    <definedName name="HJKL" localSheetId="11" hidden="1">{"'Sheet1'!$L$16"}</definedName>
    <definedName name="HJKL" localSheetId="12" hidden="1">{"'Sheet1'!$L$16"}</definedName>
    <definedName name="HJKL" localSheetId="13" hidden="1">{"'Sheet1'!$L$16"}</definedName>
    <definedName name="HJKL" hidden="1">{"'Sheet1'!$L$16"}</definedName>
    <definedName name="htlm" localSheetId="6" hidden="1">{"'Sheet1'!$L$16"}</definedName>
    <definedName name="htlm" localSheetId="7" hidden="1">{"'Sheet1'!$L$16"}</definedName>
    <definedName name="htlm" localSheetId="9" hidden="1">{"'Sheet1'!$L$16"}</definedName>
    <definedName name="htlm" localSheetId="10" hidden="1">{"'Sheet1'!$L$16"}</definedName>
    <definedName name="htlm" localSheetId="14" hidden="1">{"'Sheet1'!$L$16"}</definedName>
    <definedName name="htlm" localSheetId="11" hidden="1">{"'Sheet1'!$L$16"}</definedName>
    <definedName name="htlm" localSheetId="12" hidden="1">{"'Sheet1'!$L$16"}</definedName>
    <definedName name="htlm" localSheetId="13" hidden="1">{"'Sheet1'!$L$16"}</definedName>
    <definedName name="htlm" hidden="1">{"'Sheet1'!$L$16"}</definedName>
    <definedName name="HTML_CodePage" hidden="1">950</definedName>
    <definedName name="HTML_Control" localSheetId="6" hidden="1">{"'Sheet1'!$L$16"}</definedName>
    <definedName name="HTML_Control" localSheetId="7" hidden="1">{"'Sheet1'!$L$16"}</definedName>
    <definedName name="HTML_Control" localSheetId="9" hidden="1">{"'Sheet1'!$L$16"}</definedName>
    <definedName name="HTML_Control" localSheetId="10" hidden="1">{"'Sheet1'!$L$16"}</definedName>
    <definedName name="HTML_Control" localSheetId="14" hidden="1">{"'Sheet1'!$L$16"}</definedName>
    <definedName name="HTML_Control" localSheetId="11" hidden="1">{"'Sheet1'!$L$16"}</definedName>
    <definedName name="HTML_Control" localSheetId="12" hidden="1">{"'Sheet1'!$L$16"}</definedName>
    <definedName name="HTML_Control" localSheetId="1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rhrt" localSheetId="6" hidden="1">{"'Sheet1'!$L$16"}</definedName>
    <definedName name="htrhrt" localSheetId="7" hidden="1">{"'Sheet1'!$L$16"}</definedName>
    <definedName name="htrhrt" localSheetId="9" hidden="1">{"'Sheet1'!$L$16"}</definedName>
    <definedName name="htrhrt" localSheetId="10" hidden="1">{"'Sheet1'!$L$16"}</definedName>
    <definedName name="htrhrt" localSheetId="14" hidden="1">{"'Sheet1'!$L$16"}</definedName>
    <definedName name="htrhrt" localSheetId="11" hidden="1">{"'Sheet1'!$L$16"}</definedName>
    <definedName name="htrhrt" localSheetId="12" hidden="1">{"'Sheet1'!$L$16"}</definedName>
    <definedName name="htrhrt" localSheetId="13" hidden="1">{"'Sheet1'!$L$16"}</definedName>
    <definedName name="htrhrt" hidden="1">{"'Sheet1'!$L$16"}</definedName>
    <definedName name="hu" localSheetId="6" hidden="1">{"'Sheet1'!$L$16"}</definedName>
    <definedName name="hu" localSheetId="7" hidden="1">{"'Sheet1'!$L$16"}</definedName>
    <definedName name="hu" localSheetId="9" hidden="1">{"'Sheet1'!$L$16"}</definedName>
    <definedName name="hu" localSheetId="10" hidden="1">{"'Sheet1'!$L$16"}</definedName>
    <definedName name="hu" localSheetId="14" hidden="1">{"'Sheet1'!$L$16"}</definedName>
    <definedName name="hu" localSheetId="11" hidden="1">{"'Sheet1'!$L$16"}</definedName>
    <definedName name="hu" localSheetId="12" hidden="1">{"'Sheet1'!$L$16"}</definedName>
    <definedName name="hu" localSheetId="13" hidden="1">{"'Sheet1'!$L$16"}</definedName>
    <definedName name="hu" hidden="1">{"'Sheet1'!$L$16"}</definedName>
    <definedName name="huy" localSheetId="6" hidden="1">{"'Sheet1'!$L$16"}</definedName>
    <definedName name="huy" localSheetId="7" hidden="1">{"'Sheet1'!$L$16"}</definedName>
    <definedName name="huy" localSheetId="9" hidden="1">{"'Sheet1'!$L$16"}</definedName>
    <definedName name="huy" localSheetId="10" hidden="1">{"'Sheet1'!$L$16"}</definedName>
    <definedName name="huy" localSheetId="14" hidden="1">{"'Sheet1'!$L$16"}</definedName>
    <definedName name="huy" localSheetId="11" hidden="1">{"'Sheet1'!$L$16"}</definedName>
    <definedName name="huy" localSheetId="12" hidden="1">{"'Sheet1'!$L$16"}</definedName>
    <definedName name="huy" localSheetId="13" hidden="1">{"'Sheet1'!$L$16"}</definedName>
    <definedName name="huy" hidden="1">{"'Sheet1'!$L$16"}</definedName>
    <definedName name="KLduonggiaods" localSheetId="6" hidden="1">{"'Sheet1'!$L$16"}</definedName>
    <definedName name="KLduonggiaods" localSheetId="7" hidden="1">{"'Sheet1'!$L$16"}</definedName>
    <definedName name="KLduonggiaods" localSheetId="9" hidden="1">{"'Sheet1'!$L$16"}</definedName>
    <definedName name="KLduonggiaods" localSheetId="10" hidden="1">{"'Sheet1'!$L$16"}</definedName>
    <definedName name="KLduonggiaods" localSheetId="14" hidden="1">{"'Sheet1'!$L$16"}</definedName>
    <definedName name="KLduonggiaods" localSheetId="11" hidden="1">{"'Sheet1'!$L$16"}</definedName>
    <definedName name="KLduonggiaods" localSheetId="12" hidden="1">{"'Sheet1'!$L$16"}</definedName>
    <definedName name="KLduonggiaods" localSheetId="13" hidden="1">{"'Sheet1'!$L$16"}</definedName>
    <definedName name="KLduonggiaods" hidden="1">{"'Sheet1'!$L$16"}</definedName>
    <definedName name="komtun" localSheetId="6" hidden="1">{"'Sheet1'!$L$16"}</definedName>
    <definedName name="komtun" localSheetId="7" hidden="1">{"'Sheet1'!$L$16"}</definedName>
    <definedName name="komtun" localSheetId="9" hidden="1">{"'Sheet1'!$L$16"}</definedName>
    <definedName name="komtun" localSheetId="10" hidden="1">{"'Sheet1'!$L$16"}</definedName>
    <definedName name="komtun" localSheetId="14" hidden="1">{"'Sheet1'!$L$16"}</definedName>
    <definedName name="komtun" localSheetId="11" hidden="1">{"'Sheet1'!$L$16"}</definedName>
    <definedName name="komtun" localSheetId="12" hidden="1">{"'Sheet1'!$L$16"}</definedName>
    <definedName name="komtun" localSheetId="13" hidden="1">{"'Sheet1'!$L$16"}</definedName>
    <definedName name="komtun" hidden="1">{"'Sheet1'!$L$16"}</definedName>
    <definedName name="kontum" localSheetId="6" hidden="1">{#N/A,#N/A,TRUE,"BT M200 da 10x20"}</definedName>
    <definedName name="kontum" localSheetId="7" hidden="1">{#N/A,#N/A,TRUE,"BT M200 da 10x20"}</definedName>
    <definedName name="kontum" localSheetId="9" hidden="1">{#N/A,#N/A,TRUE,"BT M200 da 10x20"}</definedName>
    <definedName name="kontum" localSheetId="10" hidden="1">{#N/A,#N/A,TRUE,"BT M200 da 10x20"}</definedName>
    <definedName name="kontum" localSheetId="14" hidden="1">{#N/A,#N/A,TRUE,"BT M200 da 10x20"}</definedName>
    <definedName name="kontum" localSheetId="11" hidden="1">{#N/A,#N/A,TRUE,"BT M200 da 10x20"}</definedName>
    <definedName name="kontum" localSheetId="12" hidden="1">{#N/A,#N/A,TRUE,"BT M200 da 10x20"}</definedName>
    <definedName name="kontum" localSheetId="13" hidden="1">{#N/A,#N/A,TRUE,"BT M200 da 10x20"}</definedName>
    <definedName name="kontum" hidden="1">{#N/A,#N/A,TRUE,"BT M200 da 10x20"}</definedName>
    <definedName name="ksbn" localSheetId="6" hidden="1">{"'Sheet1'!$L$16"}</definedName>
    <definedName name="ksbn" localSheetId="7" hidden="1">{"'Sheet1'!$L$16"}</definedName>
    <definedName name="ksbn" localSheetId="9" hidden="1">{"'Sheet1'!$L$16"}</definedName>
    <definedName name="ksbn" localSheetId="10" hidden="1">{"'Sheet1'!$L$16"}</definedName>
    <definedName name="ksbn" localSheetId="14" hidden="1">{"'Sheet1'!$L$16"}</definedName>
    <definedName name="ksbn" localSheetId="11" hidden="1">{"'Sheet1'!$L$16"}</definedName>
    <definedName name="ksbn" localSheetId="12" hidden="1">{"'Sheet1'!$L$16"}</definedName>
    <definedName name="ksbn" localSheetId="13" hidden="1">{"'Sheet1'!$L$16"}</definedName>
    <definedName name="ksbn" hidden="1">{"'Sheet1'!$L$16"}</definedName>
    <definedName name="kshn" localSheetId="6" hidden="1">{"'Sheet1'!$L$16"}</definedName>
    <definedName name="kshn" localSheetId="7" hidden="1">{"'Sheet1'!$L$16"}</definedName>
    <definedName name="kshn" localSheetId="9" hidden="1">{"'Sheet1'!$L$16"}</definedName>
    <definedName name="kshn" localSheetId="10" hidden="1">{"'Sheet1'!$L$16"}</definedName>
    <definedName name="kshn" localSheetId="14" hidden="1">{"'Sheet1'!$L$16"}</definedName>
    <definedName name="kshn" localSheetId="11" hidden="1">{"'Sheet1'!$L$16"}</definedName>
    <definedName name="kshn" localSheetId="12" hidden="1">{"'Sheet1'!$L$16"}</definedName>
    <definedName name="kshn" localSheetId="13" hidden="1">{"'Sheet1'!$L$16"}</definedName>
    <definedName name="kshn" hidden="1">{"'Sheet1'!$L$16"}</definedName>
    <definedName name="ksls" localSheetId="6" hidden="1">{"'Sheet1'!$L$16"}</definedName>
    <definedName name="ksls" localSheetId="7" hidden="1">{"'Sheet1'!$L$16"}</definedName>
    <definedName name="ksls" localSheetId="9" hidden="1">{"'Sheet1'!$L$16"}</definedName>
    <definedName name="ksls" localSheetId="10" hidden="1">{"'Sheet1'!$L$16"}</definedName>
    <definedName name="ksls" localSheetId="14" hidden="1">{"'Sheet1'!$L$16"}</definedName>
    <definedName name="ksls" localSheetId="11" hidden="1">{"'Sheet1'!$L$16"}</definedName>
    <definedName name="ksls" localSheetId="12" hidden="1">{"'Sheet1'!$L$16"}</definedName>
    <definedName name="ksls" localSheetId="13" hidden="1">{"'Sheet1'!$L$16"}</definedName>
    <definedName name="ksls" hidden="1">{"'Sheet1'!$L$16"}</definedName>
    <definedName name="KHANHKHUNG" localSheetId="6" hidden="1">{"'Sheet1'!$L$16"}</definedName>
    <definedName name="KHANHKHUNG" localSheetId="7" hidden="1">{"'Sheet1'!$L$16"}</definedName>
    <definedName name="KHANHKHUNG" localSheetId="9" hidden="1">{"'Sheet1'!$L$16"}</definedName>
    <definedName name="KHANHKHUNG" localSheetId="10" hidden="1">{"'Sheet1'!$L$16"}</definedName>
    <definedName name="KHANHKHUNG" localSheetId="14" hidden="1">{"'Sheet1'!$L$16"}</definedName>
    <definedName name="KHANHKHUNG" localSheetId="11" hidden="1">{"'Sheet1'!$L$16"}</definedName>
    <definedName name="KHANHKHUNG" localSheetId="12" hidden="1">{"'Sheet1'!$L$16"}</definedName>
    <definedName name="KHANHKHUNG" localSheetId="13" hidden="1">{"'Sheet1'!$L$16"}</definedName>
    <definedName name="KHANHKHUNG" hidden="1">{"'Sheet1'!$L$16"}</definedName>
    <definedName name="khla09" localSheetId="6" hidden="1">{"'Sheet1'!$L$16"}</definedName>
    <definedName name="khla09" localSheetId="7" hidden="1">{"'Sheet1'!$L$16"}</definedName>
    <definedName name="khla09" localSheetId="9" hidden="1">{"'Sheet1'!$L$16"}</definedName>
    <definedName name="khla09" localSheetId="10" hidden="1">{"'Sheet1'!$L$16"}</definedName>
    <definedName name="khla09" localSheetId="14" hidden="1">{"'Sheet1'!$L$16"}</definedName>
    <definedName name="khla09" localSheetId="11" hidden="1">{"'Sheet1'!$L$16"}</definedName>
    <definedName name="khla09" localSheetId="12" hidden="1">{"'Sheet1'!$L$16"}</definedName>
    <definedName name="khla09" localSheetId="13" hidden="1">{"'Sheet1'!$L$16"}</definedName>
    <definedName name="khla09" hidden="1">{"'Sheet1'!$L$16"}</definedName>
    <definedName name="khongtruotgia" localSheetId="6" hidden="1">{"'Sheet1'!$L$16"}</definedName>
    <definedName name="khongtruotgia" localSheetId="7" hidden="1">{"'Sheet1'!$L$16"}</definedName>
    <definedName name="khongtruotgia" localSheetId="9" hidden="1">{"'Sheet1'!$L$16"}</definedName>
    <definedName name="khongtruotgia" localSheetId="10" hidden="1">{"'Sheet1'!$L$16"}</definedName>
    <definedName name="khongtruotgia" localSheetId="14" hidden="1">{"'Sheet1'!$L$16"}</definedName>
    <definedName name="khongtruotgia" localSheetId="11" hidden="1">{"'Sheet1'!$L$16"}</definedName>
    <definedName name="khongtruotgia" localSheetId="12" hidden="1">{"'Sheet1'!$L$16"}</definedName>
    <definedName name="khongtruotgia" localSheetId="13" hidden="1">{"'Sheet1'!$L$16"}</definedName>
    <definedName name="khongtruotgia" hidden="1">{"'Sheet1'!$L$16"}</definedName>
    <definedName name="khvh09" localSheetId="6" hidden="1">{"'Sheet1'!$L$16"}</definedName>
    <definedName name="khvh09" localSheetId="7" hidden="1">{"'Sheet1'!$L$16"}</definedName>
    <definedName name="khvh09" localSheetId="9" hidden="1">{"'Sheet1'!$L$16"}</definedName>
    <definedName name="khvh09" localSheetId="10" hidden="1">{"'Sheet1'!$L$16"}</definedName>
    <definedName name="khvh09" localSheetId="14" hidden="1">{"'Sheet1'!$L$16"}</definedName>
    <definedName name="khvh09" localSheetId="11" hidden="1">{"'Sheet1'!$L$16"}</definedName>
    <definedName name="khvh09" localSheetId="12" hidden="1">{"'Sheet1'!$L$16"}</definedName>
    <definedName name="khvh09" localSheetId="13" hidden="1">{"'Sheet1'!$L$16"}</definedName>
    <definedName name="khvh09" hidden="1">{"'Sheet1'!$L$16"}</definedName>
    <definedName name="KHYt09" localSheetId="6" hidden="1">{"'Sheet1'!$L$16"}</definedName>
    <definedName name="KHYt09" localSheetId="7" hidden="1">{"'Sheet1'!$L$16"}</definedName>
    <definedName name="KHYt09" localSheetId="9" hidden="1">{"'Sheet1'!$L$16"}</definedName>
    <definedName name="KHYt09" localSheetId="10" hidden="1">{"'Sheet1'!$L$16"}</definedName>
    <definedName name="KHYt09" localSheetId="14" hidden="1">{"'Sheet1'!$L$16"}</definedName>
    <definedName name="KHYt09" localSheetId="11" hidden="1">{"'Sheet1'!$L$16"}</definedName>
    <definedName name="KHYt09" localSheetId="12" hidden="1">{"'Sheet1'!$L$16"}</definedName>
    <definedName name="KHYt09" localSheetId="13" hidden="1">{"'Sheet1'!$L$16"}</definedName>
    <definedName name="KHYt09" hidden="1">{"'Sheet1'!$L$16"}</definedName>
    <definedName name="lan" localSheetId="6" hidden="1">{#N/A,#N/A,TRUE,"BT M200 da 10x20"}</definedName>
    <definedName name="lan" localSheetId="7" hidden="1">{#N/A,#N/A,TRUE,"BT M200 da 10x20"}</definedName>
    <definedName name="lan" localSheetId="9" hidden="1">{#N/A,#N/A,TRUE,"BT M200 da 10x20"}</definedName>
    <definedName name="lan" localSheetId="10" hidden="1">{#N/A,#N/A,TRUE,"BT M200 da 10x20"}</definedName>
    <definedName name="lan" localSheetId="14" hidden="1">{#N/A,#N/A,TRUE,"BT M200 da 10x20"}</definedName>
    <definedName name="lan" localSheetId="11" hidden="1">{#N/A,#N/A,TRUE,"BT M200 da 10x20"}</definedName>
    <definedName name="lan" localSheetId="12" hidden="1">{#N/A,#N/A,TRUE,"BT M200 da 10x20"}</definedName>
    <definedName name="lan" localSheetId="13" hidden="1">{#N/A,#N/A,TRUE,"BT M200 da 10x20"}</definedName>
    <definedName name="lan" hidden="1">{#N/A,#N/A,TRUE,"BT M200 da 10x20"}</definedName>
    <definedName name="langson" localSheetId="6" hidden="1">{"'Sheet1'!$L$16"}</definedName>
    <definedName name="langson" localSheetId="7" hidden="1">{"'Sheet1'!$L$16"}</definedName>
    <definedName name="langson" localSheetId="9" hidden="1">{"'Sheet1'!$L$16"}</definedName>
    <definedName name="langson" localSheetId="10" hidden="1">{"'Sheet1'!$L$16"}</definedName>
    <definedName name="langson" localSheetId="14" hidden="1">{"'Sheet1'!$L$16"}</definedName>
    <definedName name="langson" localSheetId="11" hidden="1">{"'Sheet1'!$L$16"}</definedName>
    <definedName name="langson" localSheetId="12" hidden="1">{"'Sheet1'!$L$16"}</definedName>
    <definedName name="langson" localSheetId="13" hidden="1">{"'Sheet1'!$L$16"}</definedName>
    <definedName name="langson" hidden="1">{"'Sheet1'!$L$16"}</definedName>
    <definedName name="mo" localSheetId="6" hidden="1">{"'Sheet1'!$L$16"}</definedName>
    <definedName name="mo" localSheetId="7" hidden="1">{"'Sheet1'!$L$16"}</definedName>
    <definedName name="mo" localSheetId="9" hidden="1">{"'Sheet1'!$L$16"}</definedName>
    <definedName name="mo" localSheetId="10" hidden="1">{"'Sheet1'!$L$16"}</definedName>
    <definedName name="mo" localSheetId="14" hidden="1">{"'Sheet1'!$L$16"}</definedName>
    <definedName name="mo" localSheetId="11" hidden="1">{"'Sheet1'!$L$16"}</definedName>
    <definedName name="mo" localSheetId="12" hidden="1">{"'Sheet1'!$L$16"}</definedName>
    <definedName name="mo" localSheetId="13" hidden="1">{"'Sheet1'!$L$16"}</definedName>
    <definedName name="mo" hidden="1">{"'Sheet1'!$L$16"}</definedName>
    <definedName name="NHANH2_CG4" localSheetId="6" hidden="1">{"'Sheet1'!$L$16"}</definedName>
    <definedName name="NHANH2_CG4" localSheetId="7" hidden="1">{"'Sheet1'!$L$16"}</definedName>
    <definedName name="NHANH2_CG4" localSheetId="9" hidden="1">{"'Sheet1'!$L$16"}</definedName>
    <definedName name="NHANH2_CG4" localSheetId="10" hidden="1">{"'Sheet1'!$L$16"}</definedName>
    <definedName name="NHANH2_CG4" localSheetId="14" hidden="1">{"'Sheet1'!$L$16"}</definedName>
    <definedName name="NHANH2_CG4" localSheetId="11" hidden="1">{"'Sheet1'!$L$16"}</definedName>
    <definedName name="NHANH2_CG4" localSheetId="12" hidden="1">{"'Sheet1'!$L$16"}</definedName>
    <definedName name="NHANH2_CG4" localSheetId="13" hidden="1">{"'Sheet1'!$L$16"}</definedName>
    <definedName name="NHANH2_CG4" hidden="1">{"'Sheet1'!$L$16"}</definedName>
    <definedName name="OrderTable" localSheetId="6" hidden="1">#REF!</definedName>
    <definedName name="OrderTable" localSheetId="7" hidden="1">#REF!</definedName>
    <definedName name="OrderTable" localSheetId="9" hidden="1">#REF!</definedName>
    <definedName name="OrderTable" localSheetId="10" hidden="1">#REF!</definedName>
    <definedName name="OrderTable" localSheetId="14" hidden="1">#REF!</definedName>
    <definedName name="OrderTable" localSheetId="11" hidden="1">#REF!</definedName>
    <definedName name="OrderTable" hidden="1">#REF!</definedName>
    <definedName name="PAIII_" localSheetId="6" hidden="1">{"'Sheet1'!$L$16"}</definedName>
    <definedName name="PAIII_" localSheetId="7" hidden="1">{"'Sheet1'!$L$16"}</definedName>
    <definedName name="PAIII_" localSheetId="9" hidden="1">{"'Sheet1'!$L$16"}</definedName>
    <definedName name="PAIII_" localSheetId="10" hidden="1">{"'Sheet1'!$L$16"}</definedName>
    <definedName name="PAIII_" localSheetId="14" hidden="1">{"'Sheet1'!$L$16"}</definedName>
    <definedName name="PAIII_" localSheetId="11" hidden="1">{"'Sheet1'!$L$16"}</definedName>
    <definedName name="PAIII_" localSheetId="12" hidden="1">{"'Sheet1'!$L$16"}</definedName>
    <definedName name="PAIII_" localSheetId="13" hidden="1">{"'Sheet1'!$L$16"}</definedName>
    <definedName name="PAIII_" hidden="1">{"'Sheet1'!$L$16"}</definedName>
    <definedName name="PMS" localSheetId="6" hidden="1">{"'Sheet1'!$L$16"}</definedName>
    <definedName name="PMS" localSheetId="7" hidden="1">{"'Sheet1'!$L$16"}</definedName>
    <definedName name="PMS" localSheetId="9" hidden="1">{"'Sheet1'!$L$16"}</definedName>
    <definedName name="PMS" localSheetId="10" hidden="1">{"'Sheet1'!$L$16"}</definedName>
    <definedName name="PMS" localSheetId="14" hidden="1">{"'Sheet1'!$L$16"}</definedName>
    <definedName name="PMS" localSheetId="11" hidden="1">{"'Sheet1'!$L$16"}</definedName>
    <definedName name="PMS" localSheetId="12" hidden="1">{"'Sheet1'!$L$16"}</definedName>
    <definedName name="PMS" localSheetId="13" hidden="1">{"'Sheet1'!$L$16"}</definedName>
    <definedName name="PMS" hidden="1">{"'Sheet1'!$L$16"}</definedName>
    <definedName name="_xlnm.Print_Area" localSheetId="4">'Bieu 51_Xong'!$A$1:$F$144</definedName>
    <definedName name="_xlnm.Print_Area" localSheetId="6">'bieu 53_Xong'!$A$1:$K$99</definedName>
    <definedName name="_xlnm.Print_Area" localSheetId="7">'Bieu 54_Xong'!$A$1:$Z$116</definedName>
    <definedName name="_xlnm.Print_Area" localSheetId="9">'Bieu 58_Xong'!$A$1:$Z$23</definedName>
    <definedName name="_xlnm.Print_Titles" localSheetId="8">'Bieu 54'!$6:$11</definedName>
    <definedName name="ProdForm" localSheetId="6" hidden="1">#REF!</definedName>
    <definedName name="ProdForm" localSheetId="7" hidden="1">#REF!</definedName>
    <definedName name="ProdForm" localSheetId="9" hidden="1">#REF!</definedName>
    <definedName name="ProdForm" localSheetId="10" hidden="1">#REF!</definedName>
    <definedName name="ProdForm" localSheetId="14" hidden="1">#REF!</definedName>
    <definedName name="ProdForm" localSheetId="11" hidden="1">#REF!</definedName>
    <definedName name="ProdForm" hidden="1">#REF!</definedName>
    <definedName name="Product" localSheetId="6" hidden="1">#REF!</definedName>
    <definedName name="Product" localSheetId="7" hidden="1">#REF!</definedName>
    <definedName name="Product" localSheetId="9" hidden="1">#REF!</definedName>
    <definedName name="Product" localSheetId="10" hidden="1">#REF!</definedName>
    <definedName name="Product" localSheetId="14" hidden="1">#REF!</definedName>
    <definedName name="Product" localSheetId="11" hidden="1">#REF!</definedName>
    <definedName name="Product" hidden="1">#REF!</definedName>
    <definedName name="RCArea" localSheetId="6" hidden="1">#REF!</definedName>
    <definedName name="RCArea" localSheetId="7" hidden="1">#REF!</definedName>
    <definedName name="RCArea" localSheetId="9" hidden="1">#REF!</definedName>
    <definedName name="RCArea" localSheetId="10" hidden="1">#REF!</definedName>
    <definedName name="RCArea" localSheetId="14" hidden="1">#REF!</definedName>
    <definedName name="RCArea" localSheetId="11" hidden="1">#REF!</definedName>
    <definedName name="RCArea" hidden="1">#REF!</definedName>
    <definedName name="re" localSheetId="6" hidden="1">{"'Sheet1'!$L$16"}</definedName>
    <definedName name="re" localSheetId="7" hidden="1">{"'Sheet1'!$L$16"}</definedName>
    <definedName name="re" localSheetId="9" hidden="1">{"'Sheet1'!$L$16"}</definedName>
    <definedName name="re" localSheetId="10" hidden="1">{"'Sheet1'!$L$16"}</definedName>
    <definedName name="re" localSheetId="14" hidden="1">{"'Sheet1'!$L$16"}</definedName>
    <definedName name="re" localSheetId="11" hidden="1">{"'Sheet1'!$L$16"}</definedName>
    <definedName name="re" localSheetId="12" hidden="1">{"'Sheet1'!$L$16"}</definedName>
    <definedName name="re" localSheetId="13" hidden="1">{"'Sheet1'!$L$16"}</definedName>
    <definedName name="re" hidden="1">{"'Sheet1'!$L$16"}</definedName>
    <definedName name="RGHGSD" localSheetId="6" hidden="1">{"'Sheet1'!$L$16"}</definedName>
    <definedName name="RGHGSD" localSheetId="7" hidden="1">{"'Sheet1'!$L$16"}</definedName>
    <definedName name="RGHGSD" localSheetId="9" hidden="1">{"'Sheet1'!$L$16"}</definedName>
    <definedName name="RGHGSD" localSheetId="10" hidden="1">{"'Sheet1'!$L$16"}</definedName>
    <definedName name="RGHGSD" localSheetId="14" hidden="1">{"'Sheet1'!$L$16"}</definedName>
    <definedName name="RGHGSD" localSheetId="11" hidden="1">{"'Sheet1'!$L$16"}</definedName>
    <definedName name="RGHGSD" localSheetId="12" hidden="1">{"'Sheet1'!$L$16"}</definedName>
    <definedName name="RGHGSD" localSheetId="13" hidden="1">{"'Sheet1'!$L$16"}</definedName>
    <definedName name="RGHGSD" hidden="1">{"'Sheet1'!$L$16"}</definedName>
    <definedName name="rr" localSheetId="6" hidden="1">{"'Sheet1'!$L$16"}</definedName>
    <definedName name="rr" localSheetId="7" hidden="1">{"'Sheet1'!$L$16"}</definedName>
    <definedName name="rr" localSheetId="9" hidden="1">{"'Sheet1'!$L$16"}</definedName>
    <definedName name="rr" localSheetId="10" hidden="1">{"'Sheet1'!$L$16"}</definedName>
    <definedName name="rr" localSheetId="14" hidden="1">{"'Sheet1'!$L$16"}</definedName>
    <definedName name="rr" localSheetId="11" hidden="1">{"'Sheet1'!$L$16"}</definedName>
    <definedName name="rr" localSheetId="12" hidden="1">{"'Sheet1'!$L$16"}</definedName>
    <definedName name="rr" localSheetId="13" hidden="1">{"'Sheet1'!$L$16"}</definedName>
    <definedName name="rr" hidden="1">{"'Sheet1'!$L$16"}</definedName>
    <definedName name="sdbv" localSheetId="6" hidden="1">{"'Sheet1'!$L$16"}</definedName>
    <definedName name="sdbv" localSheetId="7" hidden="1">{"'Sheet1'!$L$16"}</definedName>
    <definedName name="sdbv" localSheetId="9" hidden="1">{"'Sheet1'!$L$16"}</definedName>
    <definedName name="sdbv" localSheetId="10" hidden="1">{"'Sheet1'!$L$16"}</definedName>
    <definedName name="sdbv" localSheetId="14" hidden="1">{"'Sheet1'!$L$16"}</definedName>
    <definedName name="sdbv" localSheetId="11" hidden="1">{"'Sheet1'!$L$16"}</definedName>
    <definedName name="sdbv" localSheetId="12" hidden="1">{"'Sheet1'!$L$16"}</definedName>
    <definedName name="sdbv" localSheetId="13" hidden="1">{"'Sheet1'!$L$16"}</definedName>
    <definedName name="sdbv" hidden="1">{"'Sheet1'!$L$16"}</definedName>
    <definedName name="Sosanh2" localSheetId="6" hidden="1">{"'Sheet1'!$L$16"}</definedName>
    <definedName name="Sosanh2" localSheetId="7" hidden="1">{"'Sheet1'!$L$16"}</definedName>
    <definedName name="Sosanh2" localSheetId="9" hidden="1">{"'Sheet1'!$L$16"}</definedName>
    <definedName name="Sosanh2" localSheetId="10" hidden="1">{"'Sheet1'!$L$16"}</definedName>
    <definedName name="Sosanh2" localSheetId="14" hidden="1">{"'Sheet1'!$L$16"}</definedName>
    <definedName name="Sosanh2" localSheetId="11" hidden="1">{"'Sheet1'!$L$16"}</definedName>
    <definedName name="Sosanh2" localSheetId="12" hidden="1">{"'Sheet1'!$L$16"}</definedName>
    <definedName name="Sosanh2" localSheetId="13" hidden="1">{"'Sheet1'!$L$16"}</definedName>
    <definedName name="Sosanh2" hidden="1">{"'Sheet1'!$L$16"}</definedName>
    <definedName name="SpecialPrice" localSheetId="6" hidden="1">#REF!</definedName>
    <definedName name="SpecialPrice" localSheetId="7" hidden="1">#REF!</definedName>
    <definedName name="SpecialPrice" localSheetId="9" hidden="1">#REF!</definedName>
    <definedName name="SpecialPrice" localSheetId="10" hidden="1">#REF!</definedName>
    <definedName name="SpecialPrice" localSheetId="14" hidden="1">#REF!</definedName>
    <definedName name="SpecialPrice" localSheetId="11" hidden="1">#REF!</definedName>
    <definedName name="SpecialPrice" hidden="1">#REF!</definedName>
    <definedName name="T.3" localSheetId="6" hidden="1">{"'Sheet1'!$L$16"}</definedName>
    <definedName name="T.3" localSheetId="7" hidden="1">{"'Sheet1'!$L$16"}</definedName>
    <definedName name="T.3" localSheetId="9" hidden="1">{"'Sheet1'!$L$16"}</definedName>
    <definedName name="T.3" localSheetId="10" hidden="1">{"'Sheet1'!$L$16"}</definedName>
    <definedName name="T.3" localSheetId="14" hidden="1">{"'Sheet1'!$L$16"}</definedName>
    <definedName name="T.3" localSheetId="11" hidden="1">{"'Sheet1'!$L$16"}</definedName>
    <definedName name="T.3" localSheetId="12" hidden="1">{"'Sheet1'!$L$16"}</definedName>
    <definedName name="T.3" localSheetId="13" hidden="1">{"'Sheet1'!$L$16"}</definedName>
    <definedName name="T.3" hidden="1">{"'Sheet1'!$L$16"}</definedName>
    <definedName name="tbl_ProdInfo" localSheetId="6" hidden="1">#REF!</definedName>
    <definedName name="tbl_ProdInfo" localSheetId="7" hidden="1">#REF!</definedName>
    <definedName name="tbl_ProdInfo" localSheetId="9" hidden="1">#REF!</definedName>
    <definedName name="tbl_ProdInfo" localSheetId="10" hidden="1">#REF!</definedName>
    <definedName name="tbl_ProdInfo" localSheetId="14" hidden="1">#REF!</definedName>
    <definedName name="tbl_ProdInfo" localSheetId="11" hidden="1">#REF!</definedName>
    <definedName name="tbl_ProdInfo" hidden="1">#REF!</definedName>
    <definedName name="ttttt" localSheetId="6" hidden="1">{"'Sheet1'!$L$16"}</definedName>
    <definedName name="ttttt" localSheetId="7" hidden="1">{"'Sheet1'!$L$16"}</definedName>
    <definedName name="ttttt" localSheetId="9" hidden="1">{"'Sheet1'!$L$16"}</definedName>
    <definedName name="ttttt" localSheetId="10" hidden="1">{"'Sheet1'!$L$16"}</definedName>
    <definedName name="ttttt" localSheetId="14" hidden="1">{"'Sheet1'!$L$16"}</definedName>
    <definedName name="ttttt" localSheetId="11" hidden="1">{"'Sheet1'!$L$16"}</definedName>
    <definedName name="ttttt" localSheetId="12" hidden="1">{"'Sheet1'!$L$16"}</definedName>
    <definedName name="ttttt" localSheetId="13" hidden="1">{"'Sheet1'!$L$16"}</definedName>
    <definedName name="ttttt" hidden="1">{"'Sheet1'!$L$16"}</definedName>
    <definedName name="ttttttttttt" localSheetId="6" hidden="1">{"'Sheet1'!$L$16"}</definedName>
    <definedName name="ttttttttttt" localSheetId="7" hidden="1">{"'Sheet1'!$L$16"}</definedName>
    <definedName name="ttttttttttt" localSheetId="9" hidden="1">{"'Sheet1'!$L$16"}</definedName>
    <definedName name="ttttttttttt" localSheetId="10" hidden="1">{"'Sheet1'!$L$16"}</definedName>
    <definedName name="ttttttttttt" localSheetId="14" hidden="1">{"'Sheet1'!$L$16"}</definedName>
    <definedName name="ttttttttttt" localSheetId="11" hidden="1">{"'Sheet1'!$L$16"}</definedName>
    <definedName name="ttttttttttt" localSheetId="12" hidden="1">{"'Sheet1'!$L$16"}</definedName>
    <definedName name="ttttttttttt" localSheetId="13" hidden="1">{"'Sheet1'!$L$16"}</definedName>
    <definedName name="ttttttttttt" hidden="1">{"'Sheet1'!$L$16"}</definedName>
    <definedName name="tuyennhanh" localSheetId="6" hidden="1">{"'Sheet1'!$L$16"}</definedName>
    <definedName name="tuyennhanh" localSheetId="7" hidden="1">{"'Sheet1'!$L$16"}</definedName>
    <definedName name="tuyennhanh" localSheetId="9" hidden="1">{"'Sheet1'!$L$16"}</definedName>
    <definedName name="tuyennhanh" localSheetId="10" hidden="1">{"'Sheet1'!$L$16"}</definedName>
    <definedName name="tuyennhanh" localSheetId="14" hidden="1">{"'Sheet1'!$L$16"}</definedName>
    <definedName name="tuyennhanh" localSheetId="11" hidden="1">{"'Sheet1'!$L$16"}</definedName>
    <definedName name="tuyennhanh" localSheetId="12" hidden="1">{"'Sheet1'!$L$16"}</definedName>
    <definedName name="tuyennhanh" localSheetId="13" hidden="1">{"'Sheet1'!$L$16"}</definedName>
    <definedName name="tuyennhanh" hidden="1">{"'Sheet1'!$L$16"}</definedName>
    <definedName name="tha" localSheetId="6" hidden="1">{"'Sheet1'!$L$16"}</definedName>
    <definedName name="tha" localSheetId="7" hidden="1">{"'Sheet1'!$L$16"}</definedName>
    <definedName name="tha" localSheetId="9" hidden="1">{"'Sheet1'!$L$16"}</definedName>
    <definedName name="tha" localSheetId="10" hidden="1">{"'Sheet1'!$L$16"}</definedName>
    <definedName name="tha" localSheetId="14" hidden="1">{"'Sheet1'!$L$16"}</definedName>
    <definedName name="tha" localSheetId="11" hidden="1">{"'Sheet1'!$L$16"}</definedName>
    <definedName name="tha" localSheetId="12" hidden="1">{"'Sheet1'!$L$16"}</definedName>
    <definedName name="tha" localSheetId="13" hidden="1">{"'Sheet1'!$L$16"}</definedName>
    <definedName name="tha" hidden="1">{"'Sheet1'!$L$16"}</definedName>
    <definedName name="trong" localSheetId="6" hidden="1">{"'Sheet1'!$L$16"}</definedName>
    <definedName name="trong" localSheetId="7" hidden="1">{"'Sheet1'!$L$16"}</definedName>
    <definedName name="trong" localSheetId="9" hidden="1">{"'Sheet1'!$L$16"}</definedName>
    <definedName name="trong" localSheetId="10" hidden="1">{"'Sheet1'!$L$16"}</definedName>
    <definedName name="trong" localSheetId="14" hidden="1">{"'Sheet1'!$L$16"}</definedName>
    <definedName name="trong" localSheetId="11" hidden="1">{"'Sheet1'!$L$16"}</definedName>
    <definedName name="trong" localSheetId="12" hidden="1">{"'Sheet1'!$L$16"}</definedName>
    <definedName name="trong" localSheetId="13" hidden="1">{"'Sheet1'!$L$16"}</definedName>
    <definedName name="trong" hidden="1">{"'Sheet1'!$L$16"}</definedName>
    <definedName name="uu" localSheetId="6" hidden="1">{"'Sheet1'!$L$16"}</definedName>
    <definedName name="uu" localSheetId="7" hidden="1">{"'Sheet1'!$L$16"}</definedName>
    <definedName name="uu" localSheetId="9" hidden="1">{"'Sheet1'!$L$16"}</definedName>
    <definedName name="uu" localSheetId="10" hidden="1">{"'Sheet1'!$L$16"}</definedName>
    <definedName name="uu" localSheetId="14" hidden="1">{"'Sheet1'!$L$16"}</definedName>
    <definedName name="uu" localSheetId="11" hidden="1">{"'Sheet1'!$L$16"}</definedName>
    <definedName name="uu" localSheetId="12" hidden="1">{"'Sheet1'!$L$16"}</definedName>
    <definedName name="uu" localSheetId="13" hidden="1">{"'Sheet1'!$L$16"}</definedName>
    <definedName name="uu" hidden="1">{"'Sheet1'!$L$16"}</definedName>
    <definedName name="VATM" localSheetId="6" hidden="1">{"'Sheet1'!$L$16"}</definedName>
    <definedName name="VATM" localSheetId="7" hidden="1">{"'Sheet1'!$L$16"}</definedName>
    <definedName name="VATM" localSheetId="9" hidden="1">{"'Sheet1'!$L$16"}</definedName>
    <definedName name="VATM" localSheetId="10" hidden="1">{"'Sheet1'!$L$16"}</definedName>
    <definedName name="VATM" localSheetId="14" hidden="1">{"'Sheet1'!$L$16"}</definedName>
    <definedName name="VATM" localSheetId="11" hidden="1">{"'Sheet1'!$L$16"}</definedName>
    <definedName name="VATM" localSheetId="12" hidden="1">{"'Sheet1'!$L$16"}</definedName>
    <definedName name="VATM" localSheetId="13" hidden="1">{"'Sheet1'!$L$16"}</definedName>
    <definedName name="VATM" hidden="1">{"'Sheet1'!$L$16"}</definedName>
    <definedName name="vcoto" localSheetId="6" hidden="1">{"'Sheet1'!$L$16"}</definedName>
    <definedName name="vcoto" localSheetId="7" hidden="1">{"'Sheet1'!$L$16"}</definedName>
    <definedName name="vcoto" localSheetId="9" hidden="1">{"'Sheet1'!$L$16"}</definedName>
    <definedName name="vcoto" localSheetId="10" hidden="1">{"'Sheet1'!$L$16"}</definedName>
    <definedName name="vcoto" localSheetId="14" hidden="1">{"'Sheet1'!$L$16"}</definedName>
    <definedName name="vcoto" localSheetId="11" hidden="1">{"'Sheet1'!$L$16"}</definedName>
    <definedName name="vcoto" localSheetId="12" hidden="1">{"'Sheet1'!$L$16"}</definedName>
    <definedName name="vcoto" localSheetId="13" hidden="1">{"'Sheet1'!$L$16"}</definedName>
    <definedName name="vcoto" hidden="1">{"'Sheet1'!$L$16"}</definedName>
    <definedName name="VH" localSheetId="6" hidden="1">{"'Sheet1'!$L$16"}</definedName>
    <definedName name="VH" localSheetId="7" hidden="1">{"'Sheet1'!$L$16"}</definedName>
    <definedName name="VH" localSheetId="9" hidden="1">{"'Sheet1'!$L$16"}</definedName>
    <definedName name="VH" localSheetId="10" hidden="1">{"'Sheet1'!$L$16"}</definedName>
    <definedName name="VH" localSheetId="14" hidden="1">{"'Sheet1'!$L$16"}</definedName>
    <definedName name="VH" localSheetId="11" hidden="1">{"'Sheet1'!$L$16"}</definedName>
    <definedName name="VH" localSheetId="12" hidden="1">{"'Sheet1'!$L$16"}</definedName>
    <definedName name="VH" localSheetId="13" hidden="1">{"'Sheet1'!$L$16"}</definedName>
    <definedName name="VH" hidden="1">{"'Sheet1'!$L$16"}</definedName>
    <definedName name="Viet" localSheetId="6" hidden="1">{"'Sheet1'!$L$16"}</definedName>
    <definedName name="Viet" localSheetId="7" hidden="1">{"'Sheet1'!$L$16"}</definedName>
    <definedName name="Viet" localSheetId="9" hidden="1">{"'Sheet1'!$L$16"}</definedName>
    <definedName name="Viet" localSheetId="10" hidden="1">{"'Sheet1'!$L$16"}</definedName>
    <definedName name="Viet" localSheetId="14" hidden="1">{"'Sheet1'!$L$16"}</definedName>
    <definedName name="Viet" localSheetId="11" hidden="1">{"'Sheet1'!$L$16"}</definedName>
    <definedName name="Viet" localSheetId="12" hidden="1">{"'Sheet1'!$L$16"}</definedName>
    <definedName name="Viet" localSheetId="13" hidden="1">{"'Sheet1'!$L$16"}</definedName>
    <definedName name="Viet" hidden="1">{"'Sheet1'!$L$16"}</definedName>
    <definedName name="vlct" localSheetId="6" hidden="1">{"'Sheet1'!$L$16"}</definedName>
    <definedName name="vlct" localSheetId="7" hidden="1">{"'Sheet1'!$L$16"}</definedName>
    <definedName name="vlct" localSheetId="9" hidden="1">{"'Sheet1'!$L$16"}</definedName>
    <definedName name="vlct" localSheetId="10" hidden="1">{"'Sheet1'!$L$16"}</definedName>
    <definedName name="vlct" localSheetId="14" hidden="1">{"'Sheet1'!$L$16"}</definedName>
    <definedName name="vlct" localSheetId="11" hidden="1">{"'Sheet1'!$L$16"}</definedName>
    <definedName name="vlct" localSheetId="12" hidden="1">{"'Sheet1'!$L$16"}</definedName>
    <definedName name="vlct" localSheetId="13" hidden="1">{"'Sheet1'!$L$16"}</definedName>
    <definedName name="vlct" hidden="1">{"'Sheet1'!$L$16"}</definedName>
    <definedName name="wrn.Bang._.ke._.nhan._.hang." localSheetId="6" hidden="1">{#N/A,#N/A,FALSE,"Ke khai NH"}</definedName>
    <definedName name="wrn.Bang._.ke._.nhan._.hang." localSheetId="7" hidden="1">{#N/A,#N/A,FALSE,"Ke khai NH"}</definedName>
    <definedName name="wrn.Bang._.ke._.nhan._.hang." localSheetId="9" hidden="1">{#N/A,#N/A,FALSE,"Ke khai NH"}</definedName>
    <definedName name="wrn.Bang._.ke._.nhan._.hang." localSheetId="10" hidden="1">{#N/A,#N/A,FALSE,"Ke khai NH"}</definedName>
    <definedName name="wrn.Bang._.ke._.nhan._.hang." localSheetId="14" hidden="1">{#N/A,#N/A,FALSE,"Ke khai NH"}</definedName>
    <definedName name="wrn.Bang._.ke._.nhan._.hang." localSheetId="11" hidden="1">{#N/A,#N/A,FALSE,"Ke khai NH"}</definedName>
    <definedName name="wrn.Bang._.ke._.nhan._.hang." localSheetId="12" hidden="1">{#N/A,#N/A,FALSE,"Ke khai NH"}</definedName>
    <definedName name="wrn.Bang._.ke._.nhan._.hang." localSheetId="13" hidden="1">{#N/A,#N/A,FALSE,"Ke khai NH"}</definedName>
    <definedName name="wrn.Bang._.ke._.nhan._.hang." hidden="1">{#N/A,#N/A,FALSE,"Ke khai NH"}</definedName>
    <definedName name="wrn.Che._.do._.duoc._.huong." localSheetId="6" hidden="1">{#N/A,#N/A,FALSE,"BN (2)"}</definedName>
    <definedName name="wrn.Che._.do._.duoc._.huong." localSheetId="7" hidden="1">{#N/A,#N/A,FALSE,"BN (2)"}</definedName>
    <definedName name="wrn.Che._.do._.duoc._.huong." localSheetId="9" hidden="1">{#N/A,#N/A,FALSE,"BN (2)"}</definedName>
    <definedName name="wrn.Che._.do._.duoc._.huong." localSheetId="10" hidden="1">{#N/A,#N/A,FALSE,"BN (2)"}</definedName>
    <definedName name="wrn.Che._.do._.duoc._.huong." localSheetId="14" hidden="1">{#N/A,#N/A,FALSE,"BN (2)"}</definedName>
    <definedName name="wrn.Che._.do._.duoc._.huong." localSheetId="11" hidden="1">{#N/A,#N/A,FALSE,"BN (2)"}</definedName>
    <definedName name="wrn.Che._.do._.duoc._.huong." localSheetId="12" hidden="1">{#N/A,#N/A,FALSE,"BN (2)"}</definedName>
    <definedName name="wrn.Che._.do._.duoc._.huong." localSheetId="13" hidden="1">{#N/A,#N/A,FALSE,"BN (2)"}</definedName>
    <definedName name="wrn.Che._.do._.duoc._.huong." hidden="1">{#N/A,#N/A,FALSE,"BN (2)"}</definedName>
    <definedName name="wrn.chi._.tiÆt." localSheetId="6" hidden="1">{#N/A,#N/A,FALSE,"Chi tiÆt"}</definedName>
    <definedName name="wrn.chi._.tiÆt." localSheetId="7" hidden="1">{#N/A,#N/A,FALSE,"Chi tiÆt"}</definedName>
    <definedName name="wrn.chi._.tiÆt." localSheetId="9" hidden="1">{#N/A,#N/A,FALSE,"Chi tiÆt"}</definedName>
    <definedName name="wrn.chi._.tiÆt." localSheetId="10" hidden="1">{#N/A,#N/A,FALSE,"Chi tiÆt"}</definedName>
    <definedName name="wrn.chi._.tiÆt." localSheetId="14" hidden="1">{#N/A,#N/A,FALSE,"Chi tiÆt"}</definedName>
    <definedName name="wrn.chi._.tiÆt." localSheetId="11" hidden="1">{#N/A,#N/A,FALSE,"Chi tiÆt"}</definedName>
    <definedName name="wrn.chi._.tiÆt." localSheetId="12" hidden="1">{#N/A,#N/A,FALSE,"Chi tiÆt"}</definedName>
    <definedName name="wrn.chi._.tiÆt." localSheetId="13" hidden="1">{#N/A,#N/A,FALSE,"Chi tiÆt"}</definedName>
    <definedName name="wrn.chi._.tiÆt." hidden="1">{#N/A,#N/A,FALSE,"Chi tiÆt"}</definedName>
    <definedName name="wrn.Giáy._.bao._.no." localSheetId="6" hidden="1">{#N/A,#N/A,FALSE,"BN"}</definedName>
    <definedName name="wrn.Giáy._.bao._.no." localSheetId="7" hidden="1">{#N/A,#N/A,FALSE,"BN"}</definedName>
    <definedName name="wrn.Giáy._.bao._.no." localSheetId="9" hidden="1">{#N/A,#N/A,FALSE,"BN"}</definedName>
    <definedName name="wrn.Giáy._.bao._.no." localSheetId="10" hidden="1">{#N/A,#N/A,FALSE,"BN"}</definedName>
    <definedName name="wrn.Giáy._.bao._.no." localSheetId="14" hidden="1">{#N/A,#N/A,FALSE,"BN"}</definedName>
    <definedName name="wrn.Giáy._.bao._.no." localSheetId="11" hidden="1">{#N/A,#N/A,FALSE,"BN"}</definedName>
    <definedName name="wrn.Giáy._.bao._.no." localSheetId="12" hidden="1">{#N/A,#N/A,FALSE,"BN"}</definedName>
    <definedName name="wrn.Giáy._.bao._.no." localSheetId="13" hidden="1">{#N/A,#N/A,FALSE,"BN"}</definedName>
    <definedName name="wrn.Giáy._.bao._.no." hidden="1">{#N/A,#N/A,FALSE,"BN"}</definedName>
    <definedName name="wrn.vd." localSheetId="6" hidden="1">{#N/A,#N/A,TRUE,"BT M200 da 10x20"}</definedName>
    <definedName name="wrn.vd." localSheetId="7" hidden="1">{#N/A,#N/A,TRUE,"BT M200 da 10x20"}</definedName>
    <definedName name="wrn.vd." localSheetId="9" hidden="1">{#N/A,#N/A,TRUE,"BT M200 da 10x20"}</definedName>
    <definedName name="wrn.vd." localSheetId="10" hidden="1">{#N/A,#N/A,TRUE,"BT M200 da 10x20"}</definedName>
    <definedName name="wrn.vd." localSheetId="14" hidden="1">{#N/A,#N/A,TRUE,"BT M200 da 10x20"}</definedName>
    <definedName name="wrn.vd." localSheetId="11" hidden="1">{#N/A,#N/A,TRUE,"BT M200 da 10x20"}</definedName>
    <definedName name="wrn.vd." localSheetId="12" hidden="1">{#N/A,#N/A,TRUE,"BT M200 da 10x20"}</definedName>
    <definedName name="wrn.vd." localSheetId="13" hidden="1">{#N/A,#N/A,TRUE,"BT M200 da 10x20"}</definedName>
    <definedName name="wrn.vd." hidden="1">{#N/A,#N/A,TRUE,"BT M200 da 10x20"}</definedName>
    <definedName name="xls" localSheetId="6" hidden="1">{"'Sheet1'!$L$16"}</definedName>
    <definedName name="xls" localSheetId="7" hidden="1">{"'Sheet1'!$L$16"}</definedName>
    <definedName name="xls" localSheetId="9" hidden="1">{"'Sheet1'!$L$16"}</definedName>
    <definedName name="xls" localSheetId="10" hidden="1">{"'Sheet1'!$L$16"}</definedName>
    <definedName name="xls" localSheetId="14" hidden="1">{"'Sheet1'!$L$16"}</definedName>
    <definedName name="xls" localSheetId="11" hidden="1">{"'Sheet1'!$L$16"}</definedName>
    <definedName name="xls" localSheetId="12" hidden="1">{"'Sheet1'!$L$16"}</definedName>
    <definedName name="xls" localSheetId="13" hidden="1">{"'Sheet1'!$L$16"}</definedName>
    <definedName name="xls" hidden="1">{"'Sheet1'!$L$16"}</definedName>
    <definedName name="xlttbninh" localSheetId="6" hidden="1">{"'Sheet1'!$L$16"}</definedName>
    <definedName name="xlttbninh" localSheetId="7" hidden="1">{"'Sheet1'!$L$16"}</definedName>
    <definedName name="xlttbninh" localSheetId="9" hidden="1">{"'Sheet1'!$L$16"}</definedName>
    <definedName name="xlttbninh" localSheetId="10" hidden="1">{"'Sheet1'!$L$16"}</definedName>
    <definedName name="xlttbninh" localSheetId="14" hidden="1">{"'Sheet1'!$L$16"}</definedName>
    <definedName name="xlttbninh" localSheetId="11" hidden="1">{"'Sheet1'!$L$16"}</definedName>
    <definedName name="xlttbninh" localSheetId="12" hidden="1">{"'Sheet1'!$L$16"}</definedName>
    <definedName name="xlttbninh" localSheetId="13" hidden="1">{"'Sheet1'!$L$16"}</definedName>
    <definedName name="xlttbninh" hidden="1">{"'Sheet1'!$L$16"}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1" i="22" l="1"/>
  <c r="G12" i="24" l="1"/>
  <c r="Q19" i="18"/>
  <c r="J114" i="18"/>
  <c r="W31" i="18" l="1"/>
  <c r="M20" i="22" l="1"/>
  <c r="Q20" i="22" s="1"/>
  <c r="M12" i="22"/>
  <c r="Q12" i="22" s="1"/>
  <c r="M13" i="22"/>
  <c r="Q13" i="22" s="1"/>
  <c r="M14" i="22"/>
  <c r="Q14" i="22" s="1"/>
  <c r="M15" i="22"/>
  <c r="Q15" i="22" s="1"/>
  <c r="M16" i="22"/>
  <c r="Q16" i="22" s="1"/>
  <c r="M17" i="22"/>
  <c r="Q17" i="22" s="1"/>
  <c r="M18" i="22"/>
  <c r="Q18" i="22" s="1"/>
  <c r="M19" i="22"/>
  <c r="Q19" i="22" s="1"/>
  <c r="M11" i="22"/>
  <c r="Q11" i="22" s="1"/>
  <c r="V12" i="22" l="1"/>
  <c r="V13" i="22"/>
  <c r="V14" i="22"/>
  <c r="V15" i="22"/>
  <c r="V16" i="22"/>
  <c r="V17" i="22"/>
  <c r="V18" i="22"/>
  <c r="V19" i="22"/>
  <c r="V20" i="22"/>
  <c r="V11" i="22"/>
  <c r="J20" i="22"/>
  <c r="Z20" i="22" l="1"/>
  <c r="Z18" i="22"/>
  <c r="Z11" i="22"/>
  <c r="X20" i="22"/>
  <c r="X12" i="22"/>
  <c r="Z12" i="22"/>
  <c r="X13" i="22"/>
  <c r="Z13" i="22"/>
  <c r="X14" i="22"/>
  <c r="Z14" i="22"/>
  <c r="X15" i="22"/>
  <c r="Z15" i="22"/>
  <c r="X16" i="22"/>
  <c r="Z16" i="22"/>
  <c r="X17" i="22"/>
  <c r="Z17" i="22"/>
  <c r="X18" i="22"/>
  <c r="X19" i="22"/>
  <c r="Z19" i="22"/>
  <c r="X11" i="22"/>
  <c r="D29" i="7"/>
  <c r="E86" i="27"/>
  <c r="E85" i="27"/>
  <c r="E83" i="27"/>
  <c r="E82" i="27"/>
  <c r="D81" i="27"/>
  <c r="C81" i="27"/>
  <c r="E79" i="27"/>
  <c r="E78" i="27"/>
  <c r="E77" i="27"/>
  <c r="D76" i="27"/>
  <c r="C76" i="27"/>
  <c r="E75" i="27"/>
  <c r="E69" i="27"/>
  <c r="E68" i="27"/>
  <c r="D67" i="27"/>
  <c r="D66" i="27" s="1"/>
  <c r="C67" i="27"/>
  <c r="C66" i="27" s="1"/>
  <c r="E65" i="27"/>
  <c r="E64" i="27"/>
  <c r="E63" i="27"/>
  <c r="D62" i="27"/>
  <c r="C62" i="27"/>
  <c r="E61" i="27"/>
  <c r="E60" i="27"/>
  <c r="E59" i="27"/>
  <c r="D58" i="27"/>
  <c r="C58" i="27"/>
  <c r="E56" i="27"/>
  <c r="D55" i="27"/>
  <c r="D54" i="27" s="1"/>
  <c r="C55" i="27"/>
  <c r="C54" i="27" s="1"/>
  <c r="E53" i="27"/>
  <c r="E46" i="27"/>
  <c r="D45" i="27"/>
  <c r="C45" i="27"/>
  <c r="C44" i="27" s="1"/>
  <c r="D44" i="27"/>
  <c r="D41" i="27"/>
  <c r="E39" i="27"/>
  <c r="E38" i="27"/>
  <c r="E37" i="27"/>
  <c r="D36" i="27"/>
  <c r="C36" i="27"/>
  <c r="D33" i="27"/>
  <c r="C33" i="27"/>
  <c r="E32" i="27"/>
  <c r="E30" i="27"/>
  <c r="E29" i="27"/>
  <c r="E28" i="27"/>
  <c r="E27" i="27"/>
  <c r="E26" i="27"/>
  <c r="E25" i="27"/>
  <c r="E24" i="27"/>
  <c r="D23" i="27"/>
  <c r="D22" i="27" s="1"/>
  <c r="C23" i="27"/>
  <c r="C21" i="27"/>
  <c r="E21" i="27" s="1"/>
  <c r="E20" i="27"/>
  <c r="E19" i="27"/>
  <c r="C18" i="27"/>
  <c r="E18" i="27" s="1"/>
  <c r="D17" i="27"/>
  <c r="E16" i="27"/>
  <c r="E15" i="27"/>
  <c r="E14" i="27"/>
  <c r="E13" i="27"/>
  <c r="E12" i="27"/>
  <c r="D11" i="27"/>
  <c r="C11" i="27"/>
  <c r="L29" i="26"/>
  <c r="K29" i="26"/>
  <c r="G29" i="26"/>
  <c r="L28" i="26"/>
  <c r="K28" i="26"/>
  <c r="G28" i="26"/>
  <c r="L27" i="26"/>
  <c r="K27" i="26"/>
  <c r="G27" i="26"/>
  <c r="L26" i="26"/>
  <c r="K26" i="26"/>
  <c r="G26" i="26"/>
  <c r="L25" i="26"/>
  <c r="K25" i="26"/>
  <c r="G25" i="26"/>
  <c r="L24" i="26"/>
  <c r="K24" i="26"/>
  <c r="G24" i="26"/>
  <c r="L23" i="26"/>
  <c r="K23" i="26"/>
  <c r="G23" i="26"/>
  <c r="L22" i="26"/>
  <c r="K22" i="26"/>
  <c r="G22" i="26"/>
  <c r="L21" i="26"/>
  <c r="K21" i="26"/>
  <c r="G21" i="26"/>
  <c r="L20" i="26"/>
  <c r="K20" i="26"/>
  <c r="G20" i="26"/>
  <c r="L19" i="26"/>
  <c r="K19" i="26"/>
  <c r="G19" i="26"/>
  <c r="L18" i="26"/>
  <c r="K18" i="26"/>
  <c r="G18" i="26"/>
  <c r="L17" i="26"/>
  <c r="K17" i="26"/>
  <c r="G17" i="26"/>
  <c r="L16" i="26"/>
  <c r="K16" i="26"/>
  <c r="G16" i="26"/>
  <c r="L15" i="26"/>
  <c r="K15" i="26"/>
  <c r="G15" i="26"/>
  <c r="L14" i="26"/>
  <c r="K14" i="26"/>
  <c r="G14" i="26"/>
  <c r="L13" i="26"/>
  <c r="K13" i="26"/>
  <c r="G13" i="26"/>
  <c r="J12" i="26"/>
  <c r="I12" i="26"/>
  <c r="H12" i="26"/>
  <c r="F12" i="26"/>
  <c r="E12" i="26"/>
  <c r="D12" i="26"/>
  <c r="C12" i="26"/>
  <c r="I11" i="26"/>
  <c r="J11" i="26" s="1"/>
  <c r="D11" i="26"/>
  <c r="E11" i="26" s="1"/>
  <c r="F11" i="26" s="1"/>
  <c r="C43" i="27" l="1"/>
  <c r="C22" i="27"/>
  <c r="E22" i="27" s="1"/>
  <c r="D43" i="27"/>
  <c r="E43" i="27" s="1"/>
  <c r="C17" i="27"/>
  <c r="C10" i="27" s="1"/>
  <c r="L12" i="26"/>
  <c r="D10" i="27"/>
  <c r="E44" i="27"/>
  <c r="E76" i="27"/>
  <c r="E11" i="27"/>
  <c r="E66" i="27"/>
  <c r="E62" i="27"/>
  <c r="E58" i="27"/>
  <c r="E81" i="27"/>
  <c r="E36" i="27"/>
  <c r="K12" i="26"/>
  <c r="G12" i="26"/>
  <c r="E54" i="27"/>
  <c r="E23" i="27"/>
  <c r="E45" i="27"/>
  <c r="E55" i="27"/>
  <c r="E67" i="27"/>
  <c r="E17" i="27" l="1"/>
  <c r="E10" i="27"/>
  <c r="C9" i="27"/>
  <c r="D9" i="27"/>
  <c r="E9" i="27" s="1"/>
  <c r="L20" i="21" l="1"/>
  <c r="D13" i="18"/>
  <c r="H43" i="18" l="1"/>
  <c r="H19" i="18"/>
  <c r="G13" i="18"/>
  <c r="H14" i="18"/>
  <c r="H21" i="18"/>
  <c r="H22" i="18"/>
  <c r="H31" i="18"/>
  <c r="H15" i="18"/>
  <c r="H23" i="18"/>
  <c r="H80" i="18"/>
  <c r="U88" i="18"/>
  <c r="N88" i="18" s="1"/>
  <c r="K88" i="18"/>
  <c r="E88" i="18"/>
  <c r="H29" i="18"/>
  <c r="H89" i="18"/>
  <c r="E89" i="18" s="1"/>
  <c r="C89" i="18" s="1"/>
  <c r="H83" i="18"/>
  <c r="AA16" i="21"/>
  <c r="AA15" i="21"/>
  <c r="AA14" i="21"/>
  <c r="AA13" i="21"/>
  <c r="AA12" i="21"/>
  <c r="AA11" i="21"/>
  <c r="AA18" i="21"/>
  <c r="AA17" i="21"/>
  <c r="AA20" i="21"/>
  <c r="C88" i="18" l="1"/>
  <c r="H13" i="18"/>
  <c r="AA10" i="21"/>
  <c r="F95" i="24" l="1"/>
  <c r="I95" i="24"/>
  <c r="J95" i="24"/>
  <c r="K95" i="24"/>
  <c r="H57" i="23"/>
  <c r="H58" i="23"/>
  <c r="E17" i="24" l="1"/>
  <c r="D19" i="24"/>
  <c r="D12" i="24" s="1"/>
  <c r="D46" i="7"/>
  <c r="D23" i="7" s="1"/>
  <c r="D17" i="24" l="1"/>
  <c r="G72" i="5"/>
  <c r="G73" i="5"/>
  <c r="G75" i="5" l="1"/>
  <c r="G74" i="5"/>
  <c r="F30" i="4" l="1"/>
  <c r="E39" i="4"/>
  <c r="G30" i="4"/>
  <c r="D23" i="4"/>
  <c r="D22" i="4" s="1"/>
  <c r="AC15" i="18" l="1"/>
  <c r="AC18" i="18"/>
  <c r="AC19" i="18"/>
  <c r="AC20" i="18"/>
  <c r="AC21" i="18"/>
  <c r="AC25" i="18"/>
  <c r="AC28" i="18"/>
  <c r="AC30" i="18"/>
  <c r="AC31" i="18"/>
  <c r="AC36" i="18"/>
  <c r="AC38" i="18"/>
  <c r="AC58" i="18"/>
  <c r="AC64" i="18"/>
  <c r="AC65" i="18"/>
  <c r="AC66" i="18"/>
  <c r="AC67" i="18"/>
  <c r="AC68" i="18"/>
  <c r="AC72" i="18"/>
  <c r="AC76" i="18"/>
  <c r="AC77" i="18"/>
  <c r="AC78" i="18"/>
  <c r="AC84" i="18"/>
  <c r="AC92" i="18"/>
  <c r="AC93" i="18"/>
  <c r="AC94" i="18"/>
  <c r="AC95" i="18"/>
  <c r="AC96" i="18"/>
  <c r="AC97" i="18"/>
  <c r="AC98" i="18"/>
  <c r="AC99" i="18"/>
  <c r="AC100" i="18"/>
  <c r="AC101" i="18"/>
  <c r="AC14" i="18"/>
  <c r="D11" i="6"/>
  <c r="D10" i="6" s="1"/>
  <c r="D16" i="6"/>
  <c r="O44" i="25" l="1"/>
  <c r="O43" i="25"/>
  <c r="O38" i="25"/>
  <c r="O37" i="25"/>
  <c r="O36" i="25"/>
  <c r="L91" i="18"/>
  <c r="G34" i="25"/>
  <c r="J34" i="25"/>
  <c r="N34" i="25"/>
  <c r="Q34" i="25"/>
  <c r="C23" i="7"/>
  <c r="E34" i="25" l="1"/>
  <c r="M34" i="25"/>
  <c r="F34" i="25"/>
  <c r="D34" i="25"/>
  <c r="H12" i="18"/>
  <c r="H11" i="18" s="1"/>
  <c r="C34" i="25" l="1"/>
  <c r="E13" i="24"/>
  <c r="E15" i="24"/>
  <c r="E16" i="24"/>
  <c r="E18" i="24"/>
  <c r="E20" i="24"/>
  <c r="E21" i="24"/>
  <c r="H13" i="25" l="1"/>
  <c r="I13" i="25"/>
  <c r="K13" i="25"/>
  <c r="L13" i="25"/>
  <c r="O13" i="25"/>
  <c r="P13" i="25"/>
  <c r="R13" i="25"/>
  <c r="S13" i="25"/>
  <c r="Y13" i="25"/>
  <c r="Z13" i="25"/>
  <c r="AB13" i="25"/>
  <c r="AC13" i="25"/>
  <c r="AF13" i="25"/>
  <c r="AG13" i="25"/>
  <c r="AI13" i="25"/>
  <c r="AJ13" i="25"/>
  <c r="V34" i="25"/>
  <c r="X34" i="25"/>
  <c r="U34" i="25" s="1"/>
  <c r="T34" i="25" l="1"/>
  <c r="AK34" i="25" s="1"/>
  <c r="W34" i="25"/>
  <c r="C39" i="7" l="1"/>
  <c r="C32" i="7"/>
  <c r="C40" i="7"/>
  <c r="C38" i="7"/>
  <c r="C33" i="7"/>
  <c r="C35" i="7"/>
  <c r="C34" i="7"/>
  <c r="C41" i="7"/>
  <c r="C30" i="7"/>
  <c r="E10" i="4" l="1"/>
  <c r="E9" i="4" s="1"/>
  <c r="F20" i="4"/>
  <c r="G20" i="4"/>
  <c r="C42" i="7" l="1"/>
  <c r="C29" i="7" s="1"/>
  <c r="M14" i="18"/>
  <c r="C13" i="7"/>
  <c r="D13" i="7" l="1"/>
  <c r="E48" i="7"/>
  <c r="F48" i="7"/>
  <c r="F47" i="5" l="1"/>
  <c r="F52" i="5"/>
  <c r="I75" i="5" l="1"/>
  <c r="H75" i="5"/>
  <c r="I74" i="5"/>
  <c r="H74" i="5"/>
  <c r="I72" i="5"/>
  <c r="H72" i="5"/>
  <c r="H71" i="5"/>
  <c r="G71" i="5"/>
  <c r="I71" i="5" s="1"/>
  <c r="I70" i="5"/>
  <c r="H70" i="5"/>
  <c r="I69" i="5"/>
  <c r="H69" i="5"/>
  <c r="I68" i="5"/>
  <c r="H68" i="5"/>
  <c r="I67" i="5"/>
  <c r="H67" i="5"/>
  <c r="I66" i="5"/>
  <c r="H66" i="5"/>
  <c r="I65" i="5"/>
  <c r="H65" i="5"/>
  <c r="G64" i="5"/>
  <c r="F64" i="5"/>
  <c r="E64" i="5"/>
  <c r="D64" i="5"/>
  <c r="I63" i="5"/>
  <c r="H63" i="5"/>
  <c r="G61" i="5"/>
  <c r="G60" i="5"/>
  <c r="G59" i="5"/>
  <c r="F57" i="5"/>
  <c r="H57" i="5" s="1"/>
  <c r="E57" i="5"/>
  <c r="I56" i="5"/>
  <c r="H56" i="5"/>
  <c r="I55" i="5"/>
  <c r="H55" i="5"/>
  <c r="H54" i="5"/>
  <c r="G54" i="5"/>
  <c r="E54" i="5"/>
  <c r="H53" i="5"/>
  <c r="G53" i="5"/>
  <c r="E53" i="5"/>
  <c r="G52" i="5"/>
  <c r="I52" i="5" s="1"/>
  <c r="H52" i="5"/>
  <c r="I51" i="5"/>
  <c r="H51" i="5"/>
  <c r="I50" i="5"/>
  <c r="H50" i="5"/>
  <c r="H49" i="5"/>
  <c r="G49" i="5"/>
  <c r="E49" i="5"/>
  <c r="H48" i="5"/>
  <c r="G48" i="5"/>
  <c r="I48" i="5" s="1"/>
  <c r="G47" i="5"/>
  <c r="E47" i="5"/>
  <c r="F46" i="5"/>
  <c r="H46" i="5" s="1"/>
  <c r="E46" i="5"/>
  <c r="H45" i="5"/>
  <c r="G45" i="5"/>
  <c r="E45" i="5"/>
  <c r="H44" i="5"/>
  <c r="G44" i="5"/>
  <c r="E44" i="5"/>
  <c r="H43" i="5"/>
  <c r="G43" i="5"/>
  <c r="I43" i="5" s="1"/>
  <c r="H42" i="5"/>
  <c r="G42" i="5"/>
  <c r="E42" i="5"/>
  <c r="H41" i="5"/>
  <c r="G41" i="5"/>
  <c r="E41" i="5"/>
  <c r="I40" i="5"/>
  <c r="H40" i="5"/>
  <c r="F39" i="5"/>
  <c r="D39" i="5"/>
  <c r="H38" i="5"/>
  <c r="G38" i="5"/>
  <c r="E38" i="5"/>
  <c r="I37" i="5"/>
  <c r="H37" i="5"/>
  <c r="H36" i="5"/>
  <c r="E36" i="5"/>
  <c r="E35" i="5" s="1"/>
  <c r="I35" i="5" s="1"/>
  <c r="D35" i="5"/>
  <c r="H35" i="5" s="1"/>
  <c r="H34" i="5"/>
  <c r="G34" i="5"/>
  <c r="E34" i="5"/>
  <c r="H33" i="5"/>
  <c r="G33" i="5"/>
  <c r="E33" i="5"/>
  <c r="H32" i="5"/>
  <c r="G32" i="5"/>
  <c r="E32" i="5"/>
  <c r="H31" i="5"/>
  <c r="G31" i="5"/>
  <c r="E31" i="5"/>
  <c r="H30" i="5"/>
  <c r="G30" i="5"/>
  <c r="E30" i="5"/>
  <c r="H29" i="5"/>
  <c r="G29" i="5"/>
  <c r="E29" i="5"/>
  <c r="H28" i="5"/>
  <c r="G28" i="5"/>
  <c r="E28" i="5"/>
  <c r="F27" i="5"/>
  <c r="D27" i="5"/>
  <c r="H26" i="5"/>
  <c r="G26" i="5"/>
  <c r="E26" i="5"/>
  <c r="H25" i="5"/>
  <c r="G25" i="5"/>
  <c r="E25" i="5"/>
  <c r="F24" i="5"/>
  <c r="D24" i="5"/>
  <c r="H23" i="5"/>
  <c r="E23" i="5"/>
  <c r="I23" i="5" s="1"/>
  <c r="H22" i="5"/>
  <c r="E22" i="5"/>
  <c r="I22" i="5" s="1"/>
  <c r="H21" i="5"/>
  <c r="G21" i="5"/>
  <c r="I21" i="5" s="1"/>
  <c r="E21" i="5"/>
  <c r="H20" i="5"/>
  <c r="G20" i="5"/>
  <c r="E20" i="5"/>
  <c r="H19" i="5"/>
  <c r="G19" i="5"/>
  <c r="E19" i="5"/>
  <c r="F18" i="5"/>
  <c r="D18" i="5"/>
  <c r="H17" i="5"/>
  <c r="E17" i="5"/>
  <c r="I17" i="5" s="1"/>
  <c r="H16" i="5"/>
  <c r="E16" i="5"/>
  <c r="I16" i="5" s="1"/>
  <c r="H15" i="5"/>
  <c r="G15" i="5"/>
  <c r="E15" i="5"/>
  <c r="H14" i="5"/>
  <c r="G14" i="5"/>
  <c r="E14" i="5"/>
  <c r="H13" i="5"/>
  <c r="G13" i="5"/>
  <c r="E13" i="5"/>
  <c r="F12" i="5"/>
  <c r="D12" i="5"/>
  <c r="E39" i="5" l="1"/>
  <c r="D11" i="5"/>
  <c r="D10" i="5" s="1"/>
  <c r="D9" i="5" s="1"/>
  <c r="G24" i="5"/>
  <c r="I53" i="5"/>
  <c r="G12" i="5"/>
  <c r="I31" i="5"/>
  <c r="I15" i="5"/>
  <c r="H27" i="5"/>
  <c r="H39" i="5"/>
  <c r="G18" i="5"/>
  <c r="F11" i="5"/>
  <c r="E12" i="5"/>
  <c r="I14" i="5"/>
  <c r="E18" i="5"/>
  <c r="I18" i="5" s="1"/>
  <c r="I20" i="5"/>
  <c r="E24" i="5"/>
  <c r="I24" i="5" s="1"/>
  <c r="I26" i="5"/>
  <c r="G27" i="5"/>
  <c r="I30" i="5"/>
  <c r="I34" i="5"/>
  <c r="I38" i="5"/>
  <c r="I42" i="5"/>
  <c r="I45" i="5"/>
  <c r="G46" i="5"/>
  <c r="I46" i="5" s="1"/>
  <c r="I13" i="5"/>
  <c r="I19" i="5"/>
  <c r="I25" i="5"/>
  <c r="E27" i="5"/>
  <c r="I29" i="5"/>
  <c r="I33" i="5"/>
  <c r="G39" i="5"/>
  <c r="I39" i="5" s="1"/>
  <c r="I41" i="5"/>
  <c r="I44" i="5"/>
  <c r="H64" i="5"/>
  <c r="H12" i="5"/>
  <c r="H18" i="5"/>
  <c r="H24" i="5"/>
  <c r="I28" i="5"/>
  <c r="I32" i="5"/>
  <c r="I49" i="5"/>
  <c r="I54" i="5"/>
  <c r="G57" i="5"/>
  <c r="I57" i="5" s="1"/>
  <c r="I64" i="5"/>
  <c r="I47" i="5"/>
  <c r="I36" i="5"/>
  <c r="H47" i="5"/>
  <c r="G11" i="5" l="1"/>
  <c r="H11" i="5"/>
  <c r="F10" i="5"/>
  <c r="I27" i="5"/>
  <c r="E11" i="5"/>
  <c r="E10" i="5" s="1"/>
  <c r="E9" i="5" s="1"/>
  <c r="I12" i="5"/>
  <c r="I11" i="5" l="1"/>
  <c r="H10" i="5"/>
  <c r="F9" i="5"/>
  <c r="H9" i="5" s="1"/>
  <c r="G10" i="5"/>
  <c r="G9" i="5" s="1"/>
  <c r="I9" i="5" s="1"/>
  <c r="I10" i="5" l="1"/>
  <c r="T11" i="21" l="1"/>
  <c r="T14" i="21"/>
  <c r="Q14" i="21"/>
  <c r="T13" i="21"/>
  <c r="Q13" i="21"/>
  <c r="T12" i="21"/>
  <c r="Q12" i="21"/>
  <c r="W12" i="21"/>
  <c r="W13" i="21"/>
  <c r="W14" i="21"/>
  <c r="W15" i="21"/>
  <c r="W16" i="21"/>
  <c r="W17" i="21"/>
  <c r="W18" i="21"/>
  <c r="W19" i="21"/>
  <c r="W20" i="21"/>
  <c r="P20" i="21" l="1"/>
  <c r="P18" i="21"/>
  <c r="P16" i="21"/>
  <c r="P19" i="21"/>
  <c r="P17" i="21"/>
  <c r="P15" i="21"/>
  <c r="P12" i="21"/>
  <c r="P13" i="21"/>
  <c r="P14" i="21"/>
  <c r="I13" i="24"/>
  <c r="J13" i="24"/>
  <c r="K13" i="24"/>
  <c r="J14" i="24"/>
  <c r="J15" i="24"/>
  <c r="K15" i="24"/>
  <c r="I16" i="24"/>
  <c r="J16" i="24"/>
  <c r="K16" i="24"/>
  <c r="J17" i="24"/>
  <c r="J18" i="24"/>
  <c r="K18" i="24"/>
  <c r="J19" i="24"/>
  <c r="I20" i="24"/>
  <c r="J20" i="24"/>
  <c r="I22" i="24"/>
  <c r="J22" i="24"/>
  <c r="K22" i="24"/>
  <c r="J24" i="24"/>
  <c r="J25" i="24"/>
  <c r="J26" i="24"/>
  <c r="I27" i="24"/>
  <c r="J27" i="24"/>
  <c r="J28" i="24"/>
  <c r="J29" i="24"/>
  <c r="K29" i="24"/>
  <c r="J36" i="24"/>
  <c r="K36" i="24"/>
  <c r="J37" i="24"/>
  <c r="K37" i="24"/>
  <c r="J40" i="24"/>
  <c r="K40" i="24"/>
  <c r="J41" i="24"/>
  <c r="K41" i="24"/>
  <c r="J42" i="24"/>
  <c r="K42" i="24"/>
  <c r="J43" i="24"/>
  <c r="K43" i="24"/>
  <c r="J44" i="24"/>
  <c r="K44" i="24"/>
  <c r="J45" i="24"/>
  <c r="K45" i="24"/>
  <c r="J47" i="24"/>
  <c r="J48" i="24"/>
  <c r="K48" i="24"/>
  <c r="J49" i="24"/>
  <c r="J51" i="24"/>
  <c r="K51" i="24"/>
  <c r="J52" i="24"/>
  <c r="K52" i="24"/>
  <c r="J54" i="24"/>
  <c r="K54" i="24"/>
  <c r="J55" i="24"/>
  <c r="K55" i="24"/>
  <c r="J56" i="24"/>
  <c r="K56" i="24"/>
  <c r="J58" i="24"/>
  <c r="J59" i="24"/>
  <c r="J60" i="24"/>
  <c r="J61" i="24"/>
  <c r="J62" i="24"/>
  <c r="J64" i="24"/>
  <c r="J65" i="24"/>
  <c r="J66" i="24"/>
  <c r="J67" i="24"/>
  <c r="J69" i="24"/>
  <c r="J70" i="24"/>
  <c r="J71" i="24"/>
  <c r="J72" i="24"/>
  <c r="J73" i="24"/>
  <c r="J74" i="24"/>
  <c r="J75" i="24"/>
  <c r="J76" i="24"/>
  <c r="J77" i="24"/>
  <c r="J79" i="24"/>
  <c r="J80" i="24"/>
  <c r="J82" i="24"/>
  <c r="K82" i="24"/>
  <c r="J83" i="24"/>
  <c r="K83" i="24"/>
  <c r="J84" i="24"/>
  <c r="K84" i="24"/>
  <c r="J85" i="24"/>
  <c r="J86" i="24"/>
  <c r="J87" i="24"/>
  <c r="J88" i="24"/>
  <c r="J89" i="24"/>
  <c r="J90" i="24"/>
  <c r="J91" i="24"/>
  <c r="J92" i="24"/>
  <c r="J93" i="24"/>
  <c r="I94" i="24"/>
  <c r="J94" i="24"/>
  <c r="K94" i="24"/>
  <c r="H11" i="24" l="1"/>
  <c r="F36" i="24"/>
  <c r="H24" i="24"/>
  <c r="H15" i="24"/>
  <c r="F26" i="24"/>
  <c r="F19" i="24"/>
  <c r="F94" i="24"/>
  <c r="V24" i="25"/>
  <c r="V25" i="25"/>
  <c r="V26" i="25"/>
  <c r="V27" i="25"/>
  <c r="V28" i="25"/>
  <c r="V29" i="25"/>
  <c r="V30" i="25"/>
  <c r="V31" i="25"/>
  <c r="V32" i="25"/>
  <c r="V33" i="25"/>
  <c r="X15" i="25"/>
  <c r="X16" i="25"/>
  <c r="X17" i="25"/>
  <c r="X18" i="25"/>
  <c r="X19" i="25"/>
  <c r="X20" i="25"/>
  <c r="X21" i="25"/>
  <c r="X22" i="25"/>
  <c r="X23" i="25"/>
  <c r="X24" i="25"/>
  <c r="W24" i="25" s="1"/>
  <c r="X25" i="25"/>
  <c r="W25" i="25" s="1"/>
  <c r="X26" i="25"/>
  <c r="W26" i="25" s="1"/>
  <c r="X27" i="25"/>
  <c r="W27" i="25" s="1"/>
  <c r="X28" i="25"/>
  <c r="W28" i="25" s="1"/>
  <c r="X29" i="25"/>
  <c r="W29" i="25" s="1"/>
  <c r="X30" i="25"/>
  <c r="W30" i="25" s="1"/>
  <c r="X31" i="25"/>
  <c r="W31" i="25" s="1"/>
  <c r="X32" i="25"/>
  <c r="W32" i="25" s="1"/>
  <c r="X33" i="25"/>
  <c r="W33" i="25" s="1"/>
  <c r="X14" i="25"/>
  <c r="Y45" i="25"/>
  <c r="Y44" i="25"/>
  <c r="Y43" i="25"/>
  <c r="Y42" i="25"/>
  <c r="Y41" i="25"/>
  <c r="Y40" i="25"/>
  <c r="O40" i="25"/>
  <c r="AW40" i="25" s="1"/>
  <c r="AZ45" i="25"/>
  <c r="AW45" i="25"/>
  <c r="AS45" i="25"/>
  <c r="AH45" i="25"/>
  <c r="AE45" i="25"/>
  <c r="AA45" i="25"/>
  <c r="Z45" i="25"/>
  <c r="Q45" i="25"/>
  <c r="N45" i="25"/>
  <c r="J45" i="25"/>
  <c r="I45" i="25"/>
  <c r="H45" i="25" s="1"/>
  <c r="G45" i="25" s="1"/>
  <c r="AZ44" i="25"/>
  <c r="AS44" i="25"/>
  <c r="AH44" i="25"/>
  <c r="AE44" i="25"/>
  <c r="AA44" i="25"/>
  <c r="Z44" i="25"/>
  <c r="Q44" i="25"/>
  <c r="J44" i="25"/>
  <c r="I44" i="25"/>
  <c r="H44" i="25" s="1"/>
  <c r="G44" i="25" s="1"/>
  <c r="AZ43" i="25"/>
  <c r="AS43" i="25"/>
  <c r="AH43" i="25"/>
  <c r="AE43" i="25"/>
  <c r="AA43" i="25"/>
  <c r="Z43" i="25"/>
  <c r="Q43" i="25"/>
  <c r="J43" i="25"/>
  <c r="I43" i="25"/>
  <c r="H43" i="25" s="1"/>
  <c r="G43" i="25" s="1"/>
  <c r="AZ42" i="25"/>
  <c r="AW42" i="25"/>
  <c r="AS42" i="25"/>
  <c r="AH42" i="25"/>
  <c r="AE42" i="25"/>
  <c r="AA42" i="25"/>
  <c r="Z42" i="25"/>
  <c r="Q42" i="25"/>
  <c r="N42" i="25"/>
  <c r="J42" i="25"/>
  <c r="I42" i="25"/>
  <c r="H42" i="25" s="1"/>
  <c r="AZ41" i="25"/>
  <c r="AW41" i="25"/>
  <c r="AS41" i="25"/>
  <c r="AH41" i="25"/>
  <c r="AE41" i="25"/>
  <c r="AA41" i="25"/>
  <c r="Z41" i="25"/>
  <c r="Q41" i="25"/>
  <c r="N41" i="25"/>
  <c r="J41" i="25"/>
  <c r="I41" i="25"/>
  <c r="H41" i="25" s="1"/>
  <c r="G41" i="25" s="1"/>
  <c r="AZ40" i="25"/>
  <c r="AS40" i="25"/>
  <c r="AH40" i="25"/>
  <c r="AE40" i="25"/>
  <c r="AA40" i="25"/>
  <c r="Z40" i="25"/>
  <c r="Q40" i="25"/>
  <c r="J40" i="25"/>
  <c r="I40" i="25"/>
  <c r="H40" i="25" s="1"/>
  <c r="G40" i="25" s="1"/>
  <c r="AZ39" i="25"/>
  <c r="AW39" i="25"/>
  <c r="AS39" i="25"/>
  <c r="AH39" i="25"/>
  <c r="AE39" i="25"/>
  <c r="AA39" i="25"/>
  <c r="X39" i="25"/>
  <c r="Q39" i="25"/>
  <c r="N39" i="25"/>
  <c r="J39" i="25"/>
  <c r="I39" i="25"/>
  <c r="G39" i="25" s="1"/>
  <c r="AZ38" i="25"/>
  <c r="AS38" i="25"/>
  <c r="AH38" i="25"/>
  <c r="AE38" i="25"/>
  <c r="AA38" i="25"/>
  <c r="Z38" i="25"/>
  <c r="X38" i="25" s="1"/>
  <c r="Q38" i="25"/>
  <c r="J38" i="25"/>
  <c r="I38" i="25"/>
  <c r="G38" i="25" s="1"/>
  <c r="AZ37" i="25"/>
  <c r="AS37" i="25"/>
  <c r="AH37" i="25"/>
  <c r="AE37" i="25"/>
  <c r="AA37" i="25"/>
  <c r="Z37" i="25"/>
  <c r="Q37" i="25"/>
  <c r="AW37" i="25"/>
  <c r="J37" i="25"/>
  <c r="I37" i="25"/>
  <c r="G37" i="25" s="1"/>
  <c r="AZ36" i="25"/>
  <c r="AH36" i="25"/>
  <c r="AE36" i="25"/>
  <c r="AB36" i="25"/>
  <c r="X36" i="25"/>
  <c r="Q36" i="25"/>
  <c r="J36" i="25"/>
  <c r="I36" i="25"/>
  <c r="G36" i="25" s="1"/>
  <c r="AJ35" i="25"/>
  <c r="AI35" i="25"/>
  <c r="AG35" i="25"/>
  <c r="AG12" i="25" s="1"/>
  <c r="AF35" i="25"/>
  <c r="AC35" i="25"/>
  <c r="S35" i="25"/>
  <c r="R35" i="25"/>
  <c r="R12" i="25" s="1"/>
  <c r="P35" i="25"/>
  <c r="L35" i="25"/>
  <c r="K35" i="25"/>
  <c r="AP33" i="25"/>
  <c r="Q33" i="25"/>
  <c r="N33" i="25"/>
  <c r="J33" i="25"/>
  <c r="E33" i="25" s="1"/>
  <c r="G33" i="25"/>
  <c r="AP32" i="25"/>
  <c r="Q32" i="25"/>
  <c r="N32" i="25"/>
  <c r="J32" i="25"/>
  <c r="G32" i="25"/>
  <c r="AP31" i="25"/>
  <c r="Q31" i="25"/>
  <c r="N31" i="25"/>
  <c r="J31" i="25"/>
  <c r="G31" i="25"/>
  <c r="Q30" i="25"/>
  <c r="N30" i="25"/>
  <c r="J30" i="25"/>
  <c r="G30" i="25"/>
  <c r="Q29" i="25"/>
  <c r="N29" i="25"/>
  <c r="J29" i="25"/>
  <c r="G29" i="25"/>
  <c r="Q28" i="25"/>
  <c r="N28" i="25"/>
  <c r="J28" i="25"/>
  <c r="G28" i="25"/>
  <c r="Q27" i="25"/>
  <c r="N27" i="25"/>
  <c r="J27" i="25"/>
  <c r="G27" i="25"/>
  <c r="Q26" i="25"/>
  <c r="N26" i="25"/>
  <c r="J26" i="25"/>
  <c r="G26" i="25"/>
  <c r="Q25" i="25"/>
  <c r="N25" i="25"/>
  <c r="J25" i="25"/>
  <c r="G25" i="25"/>
  <c r="Q24" i="25"/>
  <c r="N24" i="25"/>
  <c r="J24" i="25"/>
  <c r="G24" i="25"/>
  <c r="AS23" i="25"/>
  <c r="AH23" i="25"/>
  <c r="AE23" i="25"/>
  <c r="AA23" i="25"/>
  <c r="Q23" i="25"/>
  <c r="N23" i="25"/>
  <c r="J23" i="25"/>
  <c r="G23" i="25"/>
  <c r="AS22" i="25"/>
  <c r="AH22" i="25"/>
  <c r="AE22" i="25"/>
  <c r="AA22" i="25"/>
  <c r="Q22" i="25"/>
  <c r="N22" i="25"/>
  <c r="J22" i="25"/>
  <c r="G22" i="25"/>
  <c r="AZ21" i="25"/>
  <c r="AH21" i="25"/>
  <c r="AE21" i="25"/>
  <c r="AA21" i="25"/>
  <c r="Q21" i="25"/>
  <c r="N21" i="25"/>
  <c r="J21" i="25"/>
  <c r="G21" i="25"/>
  <c r="AZ20" i="25"/>
  <c r="AH20" i="25"/>
  <c r="AE20" i="25"/>
  <c r="AA20" i="25"/>
  <c r="Q20" i="25"/>
  <c r="N20" i="25"/>
  <c r="J20" i="25"/>
  <c r="G20" i="25"/>
  <c r="AZ19" i="25"/>
  <c r="AH19" i="25"/>
  <c r="AE19" i="25"/>
  <c r="AA19" i="25"/>
  <c r="Q19" i="25"/>
  <c r="N19" i="25"/>
  <c r="J19" i="25"/>
  <c r="G19" i="25"/>
  <c r="AZ18" i="25"/>
  <c r="AH18" i="25"/>
  <c r="AE18" i="25"/>
  <c r="AA18" i="25"/>
  <c r="Q18" i="25"/>
  <c r="N18" i="25"/>
  <c r="J18" i="25"/>
  <c r="G18" i="25"/>
  <c r="AZ17" i="25"/>
  <c r="AH17" i="25"/>
  <c r="AE17" i="25"/>
  <c r="AA17" i="25"/>
  <c r="Q17" i="25"/>
  <c r="N17" i="25"/>
  <c r="J17" i="25"/>
  <c r="G17" i="25"/>
  <c r="AZ16" i="25"/>
  <c r="AH16" i="25"/>
  <c r="AE16" i="25"/>
  <c r="AA16" i="25"/>
  <c r="Q16" i="25"/>
  <c r="N16" i="25"/>
  <c r="J16" i="25"/>
  <c r="G16" i="25"/>
  <c r="AZ15" i="25"/>
  <c r="AS15" i="25"/>
  <c r="AH15" i="25"/>
  <c r="AE15" i="25"/>
  <c r="AA15" i="25"/>
  <c r="Q15" i="25"/>
  <c r="N15" i="25"/>
  <c r="J15" i="25"/>
  <c r="G15" i="25"/>
  <c r="AZ14" i="25"/>
  <c r="AS14" i="25"/>
  <c r="AH14" i="25"/>
  <c r="AE14" i="25"/>
  <c r="AA14" i="25"/>
  <c r="Q14" i="25"/>
  <c r="N14" i="25"/>
  <c r="J14" i="25"/>
  <c r="G14" i="25"/>
  <c r="AF12" i="25"/>
  <c r="U39" i="25" l="1"/>
  <c r="V42" i="25"/>
  <c r="E14" i="25"/>
  <c r="V16" i="25"/>
  <c r="V17" i="25"/>
  <c r="AM17" i="25" s="1"/>
  <c r="V19" i="25"/>
  <c r="D20" i="25"/>
  <c r="V20" i="25"/>
  <c r="V21" i="25"/>
  <c r="V22" i="25"/>
  <c r="D29" i="25"/>
  <c r="V45" i="25"/>
  <c r="V44" i="25"/>
  <c r="M15" i="25"/>
  <c r="E16" i="25"/>
  <c r="AM16" i="25" s="1"/>
  <c r="E17" i="25"/>
  <c r="E21" i="25"/>
  <c r="E23" i="25"/>
  <c r="E25" i="25"/>
  <c r="E27" i="25"/>
  <c r="E28" i="25"/>
  <c r="E31" i="25"/>
  <c r="E40" i="25"/>
  <c r="E41" i="25"/>
  <c r="Y35" i="25"/>
  <c r="Y12" i="25" s="1"/>
  <c r="G13" i="25"/>
  <c r="N13" i="25"/>
  <c r="F24" i="25"/>
  <c r="E19" i="25"/>
  <c r="AM19" i="25" s="1"/>
  <c r="AE13" i="25"/>
  <c r="AY15" i="25"/>
  <c r="F18" i="25"/>
  <c r="U14" i="25"/>
  <c r="E36" i="25"/>
  <c r="E38" i="25"/>
  <c r="M39" i="25"/>
  <c r="W39" i="25"/>
  <c r="AY39" i="25"/>
  <c r="U21" i="25"/>
  <c r="T21" i="25" s="1"/>
  <c r="W15" i="25"/>
  <c r="J13" i="25"/>
  <c r="Q13" i="25"/>
  <c r="AA13" i="25"/>
  <c r="AH13" i="25"/>
  <c r="F26" i="25"/>
  <c r="F27" i="25"/>
  <c r="M32" i="25"/>
  <c r="M42" i="25"/>
  <c r="X13" i="25"/>
  <c r="D26" i="25"/>
  <c r="P12" i="25"/>
  <c r="AD15" i="25"/>
  <c r="M16" i="25"/>
  <c r="F17" i="25"/>
  <c r="M17" i="25"/>
  <c r="AD17" i="25"/>
  <c r="AD18" i="25"/>
  <c r="F20" i="25"/>
  <c r="AD20" i="25"/>
  <c r="F22" i="25"/>
  <c r="AD22" i="25"/>
  <c r="AD23" i="25"/>
  <c r="D24" i="25"/>
  <c r="C24" i="25" s="1"/>
  <c r="F25" i="25"/>
  <c r="F29" i="25"/>
  <c r="D30" i="25"/>
  <c r="F31" i="25"/>
  <c r="AN31" i="25" s="1"/>
  <c r="M33" i="25"/>
  <c r="L12" i="25"/>
  <c r="F38" i="25"/>
  <c r="N40" i="25"/>
  <c r="D40" i="25" s="1"/>
  <c r="C40" i="25" s="1"/>
  <c r="X41" i="25"/>
  <c r="AO41" i="25" s="1"/>
  <c r="M45" i="25"/>
  <c r="K12" i="25"/>
  <c r="X45" i="25"/>
  <c r="AO45" i="25" s="1"/>
  <c r="U23" i="25"/>
  <c r="U15" i="25"/>
  <c r="AY18" i="25"/>
  <c r="AY20" i="25"/>
  <c r="E18" i="25"/>
  <c r="M19" i="25"/>
  <c r="E20" i="25"/>
  <c r="M21" i="25"/>
  <c r="E22" i="25"/>
  <c r="AM22" i="25" s="1"/>
  <c r="D25" i="25"/>
  <c r="D27" i="25"/>
  <c r="C27" i="25" s="1"/>
  <c r="E29" i="25"/>
  <c r="C29" i="25" s="1"/>
  <c r="D31" i="25"/>
  <c r="N37" i="25"/>
  <c r="M37" i="25" s="1"/>
  <c r="F39" i="25"/>
  <c r="E39" i="25"/>
  <c r="V40" i="25"/>
  <c r="AD41" i="25"/>
  <c r="F45" i="25"/>
  <c r="AY45" i="25"/>
  <c r="V18" i="25"/>
  <c r="AM18" i="25" s="1"/>
  <c r="F15" i="25"/>
  <c r="W16" i="25"/>
  <c r="M18" i="25"/>
  <c r="M20" i="25"/>
  <c r="M22" i="25"/>
  <c r="E24" i="25"/>
  <c r="E26" i="25"/>
  <c r="E30" i="25"/>
  <c r="F33" i="25"/>
  <c r="AD37" i="25"/>
  <c r="F41" i="25"/>
  <c r="E43" i="25"/>
  <c r="V43" i="25"/>
  <c r="E45" i="25"/>
  <c r="AM45" i="25" s="1"/>
  <c r="AJ12" i="25"/>
  <c r="S12" i="25"/>
  <c r="W21" i="25"/>
  <c r="W17" i="25"/>
  <c r="AR14" i="25"/>
  <c r="F28" i="25"/>
  <c r="D28" i="25"/>
  <c r="C28" i="25" s="1"/>
  <c r="AV45" i="25"/>
  <c r="AD45" i="25"/>
  <c r="W19" i="25"/>
  <c r="U33" i="25"/>
  <c r="T33" i="25" s="1"/>
  <c r="U29" i="25"/>
  <c r="T29" i="25" s="1"/>
  <c r="U25" i="25"/>
  <c r="T25" i="25" s="1"/>
  <c r="F14" i="25"/>
  <c r="M14" i="25"/>
  <c r="AY14" i="25"/>
  <c r="W14" i="25"/>
  <c r="AD14" i="25"/>
  <c r="E15" i="25"/>
  <c r="AR15" i="25"/>
  <c r="F16" i="25"/>
  <c r="AY16" i="25"/>
  <c r="D17" i="25"/>
  <c r="C17" i="25" s="1"/>
  <c r="D18" i="25"/>
  <c r="U19" i="25"/>
  <c r="T19" i="25" s="1"/>
  <c r="D22" i="25"/>
  <c r="W23" i="25"/>
  <c r="AZ35" i="25"/>
  <c r="AY36" i="25"/>
  <c r="D39" i="25"/>
  <c r="AL39" i="25" s="1"/>
  <c r="AO39" i="25"/>
  <c r="AW43" i="25"/>
  <c r="N43" i="25"/>
  <c r="M43" i="25" s="1"/>
  <c r="F44" i="25"/>
  <c r="AW44" i="25"/>
  <c r="N44" i="25"/>
  <c r="D44" i="25" s="1"/>
  <c r="U31" i="25"/>
  <c r="T31" i="25" s="1"/>
  <c r="U27" i="25"/>
  <c r="T27" i="25" s="1"/>
  <c r="AD16" i="25"/>
  <c r="AU16" i="25" s="1"/>
  <c r="AD19" i="25"/>
  <c r="AD21" i="25"/>
  <c r="M23" i="25"/>
  <c r="F30" i="25"/>
  <c r="AO31" i="25"/>
  <c r="F36" i="25"/>
  <c r="AD36" i="25"/>
  <c r="J35" i="25"/>
  <c r="J12" i="25" s="1"/>
  <c r="AR38" i="25"/>
  <c r="AD39" i="25"/>
  <c r="AY40" i="25"/>
  <c r="E42" i="25"/>
  <c r="AY43" i="25"/>
  <c r="AC12" i="25"/>
  <c r="U32" i="25"/>
  <c r="T32" i="25" s="1"/>
  <c r="U30" i="25"/>
  <c r="T30" i="25" s="1"/>
  <c r="U28" i="25"/>
  <c r="T28" i="25" s="1"/>
  <c r="U26" i="25"/>
  <c r="T26" i="25" s="1"/>
  <c r="U24" i="25"/>
  <c r="T24" i="25" s="1"/>
  <c r="I26" i="24"/>
  <c r="AN33" i="25"/>
  <c r="U16" i="25"/>
  <c r="T16" i="25" s="1"/>
  <c r="F43" i="25"/>
  <c r="D33" i="25"/>
  <c r="AZ13" i="25"/>
  <c r="AO33" i="25"/>
  <c r="M24" i="25"/>
  <c r="M25" i="25"/>
  <c r="M26" i="25"/>
  <c r="M27" i="25"/>
  <c r="M28" i="25"/>
  <c r="M29" i="25"/>
  <c r="M30" i="25"/>
  <c r="M31" i="25"/>
  <c r="AS13" i="25"/>
  <c r="AY17" i="25"/>
  <c r="AO32" i="25"/>
  <c r="F32" i="25"/>
  <c r="AN32" i="25" s="1"/>
  <c r="D32" i="25"/>
  <c r="AA36" i="25"/>
  <c r="AB35" i="25"/>
  <c r="AS36" i="25"/>
  <c r="F37" i="25"/>
  <c r="X37" i="25"/>
  <c r="Z35" i="25"/>
  <c r="Z12" i="25" s="1"/>
  <c r="AY37" i="25"/>
  <c r="V37" i="25"/>
  <c r="AH35" i="25"/>
  <c r="AW38" i="25"/>
  <c r="N38" i="25"/>
  <c r="AV38" i="25" s="1"/>
  <c r="AO38" i="25"/>
  <c r="W38" i="25"/>
  <c r="U38" i="25"/>
  <c r="X40" i="25"/>
  <c r="AR40" i="25"/>
  <c r="W41" i="25"/>
  <c r="AN41" i="25" s="1"/>
  <c r="AY41" i="25"/>
  <c r="V41" i="25"/>
  <c r="AM41" i="25" s="1"/>
  <c r="G42" i="25"/>
  <c r="H35" i="25"/>
  <c r="H12" i="25" s="1"/>
  <c r="AP12" i="25" s="1"/>
  <c r="AM42" i="25"/>
  <c r="X43" i="25"/>
  <c r="AR43" i="25"/>
  <c r="AD44" i="25"/>
  <c r="AI12" i="25"/>
  <c r="AZ12" i="25" s="1"/>
  <c r="D14" i="25"/>
  <c r="V14" i="25"/>
  <c r="D15" i="25"/>
  <c r="V15" i="25"/>
  <c r="D16" i="25"/>
  <c r="U17" i="25"/>
  <c r="T17" i="25" s="1"/>
  <c r="W18" i="25"/>
  <c r="U18" i="25"/>
  <c r="F19" i="25"/>
  <c r="D19" i="25"/>
  <c r="AY19" i="25"/>
  <c r="W20" i="25"/>
  <c r="U20" i="25"/>
  <c r="F21" i="25"/>
  <c r="D21" i="25"/>
  <c r="AM21" i="25"/>
  <c r="AY21" i="25"/>
  <c r="C22" i="25"/>
  <c r="W22" i="25"/>
  <c r="U22" i="25"/>
  <c r="AR22" i="25"/>
  <c r="F23" i="25"/>
  <c r="AN23" i="25" s="1"/>
  <c r="D23" i="25"/>
  <c r="AR23" i="25"/>
  <c r="V23" i="25"/>
  <c r="AM23" i="25" s="1"/>
  <c r="E32" i="25"/>
  <c r="I35" i="25"/>
  <c r="I12" i="25" s="1"/>
  <c r="O35" i="25"/>
  <c r="AW35" i="25" s="1"/>
  <c r="Q35" i="25"/>
  <c r="AE35" i="25"/>
  <c r="AW36" i="25"/>
  <c r="N36" i="25"/>
  <c r="U36" i="25"/>
  <c r="AO36" i="25"/>
  <c r="E37" i="25"/>
  <c r="AV37" i="25"/>
  <c r="AR37" i="25"/>
  <c r="V38" i="25"/>
  <c r="AD38" i="25"/>
  <c r="AV39" i="25"/>
  <c r="F40" i="25"/>
  <c r="M41" i="25"/>
  <c r="AV41" i="25"/>
  <c r="D41" i="25"/>
  <c r="C41" i="25" s="1"/>
  <c r="AV42" i="25"/>
  <c r="AD42" i="25"/>
  <c r="AU42" i="25" s="1"/>
  <c r="D45" i="25"/>
  <c r="AR45" i="25"/>
  <c r="AY38" i="25"/>
  <c r="AR39" i="25"/>
  <c r="V39" i="25"/>
  <c r="AD40" i="25"/>
  <c r="AR41" i="25"/>
  <c r="X42" i="25"/>
  <c r="AY42" i="25"/>
  <c r="AR42" i="25"/>
  <c r="AD43" i="25"/>
  <c r="E44" i="25"/>
  <c r="AM44" i="25" s="1"/>
  <c r="X44" i="25"/>
  <c r="AY44" i="25"/>
  <c r="AR44" i="25"/>
  <c r="U45" i="25"/>
  <c r="AM43" i="25" l="1"/>
  <c r="AN39" i="25"/>
  <c r="AU41" i="25"/>
  <c r="AV43" i="25"/>
  <c r="C19" i="25"/>
  <c r="AK19" i="25" s="1"/>
  <c r="C45" i="25"/>
  <c r="M40" i="25"/>
  <c r="AU40" i="25" s="1"/>
  <c r="C20" i="25"/>
  <c r="C25" i="25"/>
  <c r="AU18" i="25"/>
  <c r="W45" i="25"/>
  <c r="AN45" i="25" s="1"/>
  <c r="M44" i="25"/>
  <c r="AU44" i="25" s="1"/>
  <c r="AV40" i="25"/>
  <c r="AV44" i="25"/>
  <c r="AM38" i="25"/>
  <c r="C23" i="25"/>
  <c r="C21" i="25"/>
  <c r="AK21" i="25" s="1"/>
  <c r="C16" i="25"/>
  <c r="AK16" i="25" s="1"/>
  <c r="AU21" i="25"/>
  <c r="AU45" i="25"/>
  <c r="AU20" i="25"/>
  <c r="AM40" i="25"/>
  <c r="C31" i="25"/>
  <c r="AK31" i="25" s="1"/>
  <c r="AU15" i="25"/>
  <c r="AY13" i="25"/>
  <c r="V13" i="25"/>
  <c r="AU17" i="25"/>
  <c r="AN15" i="25"/>
  <c r="AL31" i="25"/>
  <c r="AM20" i="25"/>
  <c r="AU39" i="25"/>
  <c r="C26" i="25"/>
  <c r="E13" i="25"/>
  <c r="U13" i="25"/>
  <c r="D13" i="25"/>
  <c r="W13" i="25"/>
  <c r="G33" i="24" s="1"/>
  <c r="M13" i="25"/>
  <c r="D32" i="24" s="1"/>
  <c r="C30" i="25"/>
  <c r="AM15" i="25"/>
  <c r="T14" i="25"/>
  <c r="AN38" i="25"/>
  <c r="AH12" i="25"/>
  <c r="AU14" i="25"/>
  <c r="AL33" i="25"/>
  <c r="C18" i="25"/>
  <c r="AD13" i="25"/>
  <c r="F13" i="25"/>
  <c r="D33" i="24" s="1"/>
  <c r="AU37" i="25"/>
  <c r="AM39" i="25"/>
  <c r="Q12" i="25"/>
  <c r="AN22" i="25"/>
  <c r="U41" i="25"/>
  <c r="D37" i="25"/>
  <c r="C37" i="25" s="1"/>
  <c r="AU19" i="25"/>
  <c r="C39" i="25"/>
  <c r="T39" i="25"/>
  <c r="AL28" i="25"/>
  <c r="T22" i="25"/>
  <c r="AK22" i="25" s="1"/>
  <c r="T20" i="25"/>
  <c r="T18" i="25"/>
  <c r="AK18" i="25" s="1"/>
  <c r="T15" i="25"/>
  <c r="AU43" i="25"/>
  <c r="AL30" i="25"/>
  <c r="C15" i="25"/>
  <c r="C33" i="25"/>
  <c r="AK33" i="25" s="1"/>
  <c r="AL29" i="25"/>
  <c r="AN14" i="25"/>
  <c r="D43" i="25"/>
  <c r="C43" i="25" s="1"/>
  <c r="T23" i="25"/>
  <c r="AK23" i="25" s="1"/>
  <c r="U44" i="25"/>
  <c r="AO44" i="25"/>
  <c r="W44" i="25"/>
  <c r="AN44" i="25" s="1"/>
  <c r="E35" i="25"/>
  <c r="N35" i="25"/>
  <c r="N12" i="25" s="1"/>
  <c r="M36" i="25"/>
  <c r="D36" i="25"/>
  <c r="C14" i="25"/>
  <c r="AO43" i="25"/>
  <c r="W43" i="25"/>
  <c r="AN43" i="25" s="1"/>
  <c r="U43" i="25"/>
  <c r="F42" i="25"/>
  <c r="F35" i="25" s="1"/>
  <c r="E33" i="24" s="1"/>
  <c r="D42" i="25"/>
  <c r="C42" i="25" s="1"/>
  <c r="G35" i="25"/>
  <c r="G12" i="25" s="1"/>
  <c r="AL41" i="25"/>
  <c r="T41" i="25"/>
  <c r="AK41" i="25" s="1"/>
  <c r="AO40" i="25"/>
  <c r="W40" i="25"/>
  <c r="AN40" i="25" s="1"/>
  <c r="U40" i="25"/>
  <c r="T38" i="25"/>
  <c r="AM37" i="25"/>
  <c r="AR36" i="25"/>
  <c r="AA35" i="25"/>
  <c r="V36" i="25"/>
  <c r="T36" i="25" s="1"/>
  <c r="AL32" i="25"/>
  <c r="C32" i="25"/>
  <c r="AK32" i="25" s="1"/>
  <c r="T45" i="25"/>
  <c r="AK45" i="25" s="1"/>
  <c r="AL45" i="25"/>
  <c r="U42" i="25"/>
  <c r="W42" i="25"/>
  <c r="AO42" i="25"/>
  <c r="C44" i="25"/>
  <c r="AV36" i="25"/>
  <c r="AD35" i="25"/>
  <c r="H32" i="24" s="1"/>
  <c r="X35" i="25"/>
  <c r="X12" i="25" s="1"/>
  <c r="W36" i="25"/>
  <c r="AK17" i="25"/>
  <c r="AM14" i="25"/>
  <c r="M38" i="25"/>
  <c r="AU38" i="25" s="1"/>
  <c r="D38" i="25"/>
  <c r="C38" i="25" s="1"/>
  <c r="AY35" i="25"/>
  <c r="AO37" i="25"/>
  <c r="W37" i="25"/>
  <c r="AN37" i="25" s="1"/>
  <c r="U37" i="25"/>
  <c r="AS35" i="25"/>
  <c r="AB12" i="25"/>
  <c r="AS12" i="25" s="1"/>
  <c r="AP35" i="25"/>
  <c r="AE12" i="25"/>
  <c r="O12" i="25"/>
  <c r="AW12" i="25" s="1"/>
  <c r="AR13" i="25"/>
  <c r="AK20" i="25" l="1"/>
  <c r="E12" i="25"/>
  <c r="AK14" i="25"/>
  <c r="AN42" i="25"/>
  <c r="AY12" i="25"/>
  <c r="C13" i="25"/>
  <c r="D31" i="24" s="1"/>
  <c r="C33" i="24"/>
  <c r="AK39" i="25"/>
  <c r="T13" i="25"/>
  <c r="J33" i="24"/>
  <c r="AV35" i="25"/>
  <c r="AD12" i="25"/>
  <c r="AU13" i="25"/>
  <c r="AN13" i="25"/>
  <c r="F12" i="25"/>
  <c r="AK15" i="25"/>
  <c r="AO35" i="25"/>
  <c r="AV12" i="25"/>
  <c r="T37" i="25"/>
  <c r="AK37" i="25" s="1"/>
  <c r="AL37" i="25"/>
  <c r="AM13" i="25"/>
  <c r="AR35" i="25"/>
  <c r="AA12" i="25"/>
  <c r="AR12" i="25" s="1"/>
  <c r="AK38" i="25"/>
  <c r="AL40" i="25"/>
  <c r="T40" i="25"/>
  <c r="AK40" i="25" s="1"/>
  <c r="AL43" i="25"/>
  <c r="T43" i="25"/>
  <c r="AK43" i="25" s="1"/>
  <c r="C36" i="25"/>
  <c r="C35" i="25" s="1"/>
  <c r="D35" i="25"/>
  <c r="D12" i="25" s="1"/>
  <c r="AO12" i="25"/>
  <c r="AN36" i="25"/>
  <c r="W35" i="25"/>
  <c r="H33" i="24" s="1"/>
  <c r="AL42" i="25"/>
  <c r="T42" i="25"/>
  <c r="AK42" i="25" s="1"/>
  <c r="V35" i="25"/>
  <c r="AM35" i="25" s="1"/>
  <c r="AM36" i="25"/>
  <c r="AL38" i="25"/>
  <c r="M35" i="25"/>
  <c r="E32" i="24" s="1"/>
  <c r="C32" i="24" s="1"/>
  <c r="AU36" i="25"/>
  <c r="U35" i="25"/>
  <c r="U12" i="25" s="1"/>
  <c r="AL36" i="25"/>
  <c r="AL44" i="25"/>
  <c r="T44" i="25"/>
  <c r="AK44" i="25" s="1"/>
  <c r="E31" i="24" l="1"/>
  <c r="C31" i="24"/>
  <c r="C12" i="25"/>
  <c r="M12" i="25"/>
  <c r="AU12" i="25" s="1"/>
  <c r="AL35" i="25"/>
  <c r="AK13" i="25"/>
  <c r="AN35" i="25"/>
  <c r="W12" i="25"/>
  <c r="AN12" i="25" s="1"/>
  <c r="T35" i="25"/>
  <c r="AK35" i="25" s="1"/>
  <c r="AL12" i="25"/>
  <c r="AU35" i="25"/>
  <c r="AK36" i="25"/>
  <c r="V12" i="25"/>
  <c r="AM12" i="25" s="1"/>
  <c r="T12" i="25" l="1"/>
  <c r="AK12" i="25" s="1"/>
  <c r="J12" i="24" l="1"/>
  <c r="F24" i="24"/>
  <c r="F18" i="24"/>
  <c r="F17" i="24"/>
  <c r="F15" i="24"/>
  <c r="I15" i="24" l="1"/>
  <c r="I18" i="24"/>
  <c r="I24" i="24"/>
  <c r="O43" i="18"/>
  <c r="AC43" i="18" s="1"/>
  <c r="V91" i="18"/>
  <c r="O91" i="18"/>
  <c r="O13" i="18" l="1"/>
  <c r="AC13" i="18" s="1"/>
  <c r="G11" i="24"/>
  <c r="F11" i="24" s="1"/>
  <c r="F29" i="24"/>
  <c r="C29" i="24"/>
  <c r="F28" i="24"/>
  <c r="I28" i="24" s="1"/>
  <c r="D11" i="24"/>
  <c r="D10" i="24" s="1"/>
  <c r="D9" i="24" s="1"/>
  <c r="I29" i="24" l="1"/>
  <c r="J11" i="24"/>
  <c r="F47" i="7" l="1"/>
  <c r="E47" i="7"/>
  <c r="F46" i="7"/>
  <c r="E46" i="7"/>
  <c r="F45" i="7"/>
  <c r="E45" i="7"/>
  <c r="F44" i="7"/>
  <c r="E44" i="7"/>
  <c r="F43" i="7"/>
  <c r="E43" i="7"/>
  <c r="E31" i="7"/>
  <c r="F31" i="7"/>
  <c r="E32" i="7"/>
  <c r="F32" i="7"/>
  <c r="E33" i="7"/>
  <c r="F33" i="7"/>
  <c r="E34" i="7"/>
  <c r="F34" i="7"/>
  <c r="E35" i="7"/>
  <c r="F35" i="7"/>
  <c r="E36" i="7"/>
  <c r="F36" i="7"/>
  <c r="E37" i="7"/>
  <c r="F37" i="7"/>
  <c r="E38" i="7"/>
  <c r="F38" i="7"/>
  <c r="E39" i="7"/>
  <c r="F39" i="7"/>
  <c r="E40" i="7"/>
  <c r="F40" i="7"/>
  <c r="E41" i="7"/>
  <c r="F41" i="7"/>
  <c r="E42" i="7"/>
  <c r="F42" i="7"/>
  <c r="F30" i="7"/>
  <c r="E30" i="7"/>
  <c r="F28" i="7"/>
  <c r="E28" i="7"/>
  <c r="F27" i="7"/>
  <c r="E27" i="7"/>
  <c r="F10" i="7"/>
  <c r="E10" i="7"/>
  <c r="F26" i="7"/>
  <c r="F25" i="7"/>
  <c r="E25" i="7"/>
  <c r="F24" i="7"/>
  <c r="E24" i="7"/>
  <c r="E23" i="7"/>
  <c r="F22" i="7"/>
  <c r="E22" i="7"/>
  <c r="F21" i="7"/>
  <c r="E21" i="7"/>
  <c r="F20" i="7"/>
  <c r="E20" i="7"/>
  <c r="F19" i="7"/>
  <c r="E19" i="7"/>
  <c r="F18" i="7"/>
  <c r="E18" i="7"/>
  <c r="F17" i="7"/>
  <c r="E17" i="7"/>
  <c r="F16" i="7"/>
  <c r="E16" i="7"/>
  <c r="F15" i="7"/>
  <c r="E15" i="7"/>
  <c r="F14" i="7"/>
  <c r="E14" i="7"/>
  <c r="F38" i="6"/>
  <c r="F39" i="6"/>
  <c r="F40" i="6"/>
  <c r="F41" i="6"/>
  <c r="F43" i="6"/>
  <c r="F44" i="6"/>
  <c r="F45" i="6"/>
  <c r="F46" i="6"/>
  <c r="F47" i="6"/>
  <c r="F54" i="6"/>
  <c r="F55" i="6"/>
  <c r="F56" i="6"/>
  <c r="F57" i="6"/>
  <c r="F58" i="6"/>
  <c r="F59" i="6"/>
  <c r="F60" i="6"/>
  <c r="F61" i="6"/>
  <c r="F62" i="6"/>
  <c r="F63" i="6"/>
  <c r="F64" i="6"/>
  <c r="F65" i="6"/>
  <c r="F66" i="6"/>
  <c r="F67" i="6"/>
  <c r="F69" i="6"/>
  <c r="F70" i="6"/>
  <c r="E68" i="6"/>
  <c r="D68" i="6"/>
  <c r="F68" i="6" s="1"/>
  <c r="E53" i="6"/>
  <c r="D53" i="6"/>
  <c r="D52" i="6" s="1"/>
  <c r="D51" i="6"/>
  <c r="F51" i="6" s="1"/>
  <c r="D50" i="6"/>
  <c r="D49" i="6"/>
  <c r="F49" i="6" s="1"/>
  <c r="E48" i="6"/>
  <c r="E42" i="6"/>
  <c r="D42" i="6"/>
  <c r="E37" i="6"/>
  <c r="D37" i="6"/>
  <c r="E29" i="7" l="1"/>
  <c r="E52" i="6"/>
  <c r="F52" i="6" s="1"/>
  <c r="F37" i="6"/>
  <c r="F42" i="6"/>
  <c r="E35" i="6"/>
  <c r="D48" i="6"/>
  <c r="F48" i="6" s="1"/>
  <c r="F53" i="6"/>
  <c r="D12" i="7"/>
  <c r="D11" i="7" s="1"/>
  <c r="D9" i="7" s="1"/>
  <c r="F50" i="6"/>
  <c r="F23" i="7"/>
  <c r="F19" i="4"/>
  <c r="G19" i="4"/>
  <c r="G18" i="4" l="1"/>
  <c r="F18" i="4"/>
  <c r="F12" i="6"/>
  <c r="F14" i="6"/>
  <c r="F15" i="6"/>
  <c r="F16" i="6"/>
  <c r="F17" i="6"/>
  <c r="F18" i="6"/>
  <c r="F19" i="6"/>
  <c r="F21" i="6"/>
  <c r="F23" i="6"/>
  <c r="F24" i="6"/>
  <c r="F25" i="6"/>
  <c r="F26" i="6"/>
  <c r="F27" i="6"/>
  <c r="F28" i="6"/>
  <c r="F29" i="6"/>
  <c r="F73" i="6"/>
  <c r="F74" i="6"/>
  <c r="F75" i="6"/>
  <c r="F76" i="6"/>
  <c r="F77" i="6"/>
  <c r="F78" i="6"/>
  <c r="F82" i="6"/>
  <c r="F83" i="6"/>
  <c r="F116" i="6"/>
  <c r="F117" i="6"/>
  <c r="F118" i="6"/>
  <c r="F119" i="6"/>
  <c r="F121" i="6"/>
  <c r="F122" i="6"/>
  <c r="F123" i="6"/>
  <c r="F124" i="6"/>
  <c r="F126" i="6"/>
  <c r="F127" i="6"/>
  <c r="F128" i="6"/>
  <c r="F129" i="6"/>
  <c r="F130" i="6"/>
  <c r="F131" i="6"/>
  <c r="F132" i="6"/>
  <c r="F142" i="6"/>
  <c r="F143" i="6"/>
  <c r="G10" i="4" l="1"/>
  <c r="G11" i="4"/>
  <c r="G14" i="4"/>
  <c r="G15" i="4"/>
  <c r="G16" i="4"/>
  <c r="G17" i="4"/>
  <c r="G26" i="4"/>
  <c r="G27" i="4"/>
  <c r="G28" i="4"/>
  <c r="G29" i="4"/>
  <c r="G34" i="4"/>
  <c r="G35" i="4"/>
  <c r="G37" i="4"/>
  <c r="G38" i="4"/>
  <c r="G40" i="4"/>
  <c r="G41" i="4"/>
  <c r="G42" i="4"/>
  <c r="F10" i="4"/>
  <c r="F11" i="4"/>
  <c r="F14" i="4"/>
  <c r="F15" i="4"/>
  <c r="F16" i="4"/>
  <c r="F17" i="4"/>
  <c r="F26" i="4"/>
  <c r="F27" i="4"/>
  <c r="F28" i="4"/>
  <c r="F29" i="4"/>
  <c r="F34" i="4"/>
  <c r="F35" i="4"/>
  <c r="F37" i="4"/>
  <c r="F38" i="4"/>
  <c r="F40" i="4"/>
  <c r="F41" i="4"/>
  <c r="F42" i="4"/>
  <c r="D114" i="6" l="1"/>
  <c r="D101" i="6"/>
  <c r="D86" i="6"/>
  <c r="F93" i="24" l="1"/>
  <c r="I93" i="24" s="1"/>
  <c r="E93" i="24"/>
  <c r="K93" i="24" s="1"/>
  <c r="F92" i="24"/>
  <c r="I92" i="24" s="1"/>
  <c r="E92" i="24"/>
  <c r="K92" i="24" s="1"/>
  <c r="F91" i="24"/>
  <c r="I91" i="24" s="1"/>
  <c r="E91" i="24"/>
  <c r="K91" i="24" s="1"/>
  <c r="F90" i="24"/>
  <c r="I90" i="24" s="1"/>
  <c r="E90" i="24"/>
  <c r="K90" i="24" s="1"/>
  <c r="F89" i="24"/>
  <c r="I89" i="24" s="1"/>
  <c r="E89" i="24"/>
  <c r="K89" i="24" s="1"/>
  <c r="F88" i="24"/>
  <c r="I88" i="24" s="1"/>
  <c r="E88" i="24"/>
  <c r="K88" i="24" s="1"/>
  <c r="F87" i="24"/>
  <c r="I87" i="24" s="1"/>
  <c r="E87" i="24"/>
  <c r="K87" i="24" s="1"/>
  <c r="F86" i="24"/>
  <c r="I86" i="24" s="1"/>
  <c r="E86" i="24"/>
  <c r="K86" i="24" s="1"/>
  <c r="F85" i="24"/>
  <c r="I85" i="24" s="1"/>
  <c r="E85" i="24"/>
  <c r="K85" i="24" s="1"/>
  <c r="F84" i="24"/>
  <c r="C84" i="24"/>
  <c r="F83" i="24"/>
  <c r="C83" i="24"/>
  <c r="F82" i="24"/>
  <c r="I82" i="24" s="1"/>
  <c r="H81" i="24"/>
  <c r="G81" i="24"/>
  <c r="D81" i="24"/>
  <c r="F80" i="24"/>
  <c r="I80" i="24" s="1"/>
  <c r="E80" i="24"/>
  <c r="K80" i="24" s="1"/>
  <c r="F79" i="24"/>
  <c r="I79" i="24" s="1"/>
  <c r="E79" i="24"/>
  <c r="K79" i="24" s="1"/>
  <c r="H78" i="24"/>
  <c r="G78" i="24"/>
  <c r="D78" i="24"/>
  <c r="C78" i="24"/>
  <c r="F77" i="24"/>
  <c r="I77" i="24" s="1"/>
  <c r="E77" i="24"/>
  <c r="K77" i="24" s="1"/>
  <c r="F76" i="24"/>
  <c r="I76" i="24" s="1"/>
  <c r="E76" i="24"/>
  <c r="K76" i="24" s="1"/>
  <c r="F75" i="24"/>
  <c r="I75" i="24" s="1"/>
  <c r="E75" i="24"/>
  <c r="K75" i="24" s="1"/>
  <c r="F74" i="24"/>
  <c r="I74" i="24" s="1"/>
  <c r="E74" i="24"/>
  <c r="K74" i="24" s="1"/>
  <c r="F73" i="24"/>
  <c r="I73" i="24" s="1"/>
  <c r="E73" i="24"/>
  <c r="K73" i="24" s="1"/>
  <c r="F72" i="24"/>
  <c r="I72" i="24" s="1"/>
  <c r="E72" i="24"/>
  <c r="K72" i="24" s="1"/>
  <c r="F71" i="24"/>
  <c r="I71" i="24" s="1"/>
  <c r="E71" i="24"/>
  <c r="K71" i="24" s="1"/>
  <c r="F70" i="24"/>
  <c r="I70" i="24" s="1"/>
  <c r="E70" i="24"/>
  <c r="K70" i="24" s="1"/>
  <c r="F69" i="24"/>
  <c r="I69" i="24" s="1"/>
  <c r="E69" i="24"/>
  <c r="K69" i="24" s="1"/>
  <c r="H68" i="24"/>
  <c r="G68" i="24"/>
  <c r="D68" i="24"/>
  <c r="C68" i="24"/>
  <c r="F67" i="24"/>
  <c r="I67" i="24" s="1"/>
  <c r="E67" i="24"/>
  <c r="K67" i="24" s="1"/>
  <c r="F66" i="24"/>
  <c r="I66" i="24" s="1"/>
  <c r="E66" i="24"/>
  <c r="K66" i="24" s="1"/>
  <c r="F65" i="24"/>
  <c r="I65" i="24" s="1"/>
  <c r="E65" i="24"/>
  <c r="K65" i="24" s="1"/>
  <c r="F64" i="24"/>
  <c r="I64" i="24" s="1"/>
  <c r="E64" i="24"/>
  <c r="K64" i="24" s="1"/>
  <c r="H63" i="24"/>
  <c r="G63" i="24"/>
  <c r="D63" i="24"/>
  <c r="C63" i="24"/>
  <c r="F62" i="24"/>
  <c r="I62" i="24" s="1"/>
  <c r="E62" i="24"/>
  <c r="K62" i="24" s="1"/>
  <c r="F61" i="24"/>
  <c r="I61" i="24" s="1"/>
  <c r="E61" i="24"/>
  <c r="K61" i="24" s="1"/>
  <c r="F60" i="24"/>
  <c r="I60" i="24" s="1"/>
  <c r="E60" i="24"/>
  <c r="K60" i="24" s="1"/>
  <c r="F59" i="24"/>
  <c r="I59" i="24" s="1"/>
  <c r="E59" i="24"/>
  <c r="K59" i="24" s="1"/>
  <c r="F58" i="24"/>
  <c r="I58" i="24" s="1"/>
  <c r="E58" i="24"/>
  <c r="K58" i="24" s="1"/>
  <c r="H57" i="24"/>
  <c r="G57" i="24"/>
  <c r="J57" i="24" s="1"/>
  <c r="E57" i="24"/>
  <c r="K57" i="24" s="1"/>
  <c r="F56" i="24"/>
  <c r="C56" i="24"/>
  <c r="F55" i="24"/>
  <c r="C55" i="24"/>
  <c r="F54" i="24"/>
  <c r="C54" i="24"/>
  <c r="H53" i="24"/>
  <c r="G53" i="24"/>
  <c r="E53" i="24"/>
  <c r="D53" i="24"/>
  <c r="F52" i="24"/>
  <c r="C52" i="24"/>
  <c r="F51" i="24"/>
  <c r="C51" i="24"/>
  <c r="H50" i="24"/>
  <c r="G50" i="24"/>
  <c r="E50" i="24"/>
  <c r="D50" i="24"/>
  <c r="F49" i="24"/>
  <c r="I49" i="24" s="1"/>
  <c r="E49" i="24"/>
  <c r="K49" i="24" s="1"/>
  <c r="F48" i="24"/>
  <c r="C48" i="24"/>
  <c r="F47" i="24"/>
  <c r="E47" i="24"/>
  <c r="K47" i="24" s="1"/>
  <c r="F45" i="24"/>
  <c r="C45" i="24"/>
  <c r="F44" i="24"/>
  <c r="C44" i="24"/>
  <c r="F43" i="24"/>
  <c r="C43" i="24"/>
  <c r="F42" i="24"/>
  <c r="C42" i="24"/>
  <c r="F41" i="24"/>
  <c r="C41" i="24"/>
  <c r="F40" i="24"/>
  <c r="C40" i="24"/>
  <c r="H39" i="24"/>
  <c r="G39" i="24"/>
  <c r="E72" i="6" s="1"/>
  <c r="F72" i="6" s="1"/>
  <c r="E39" i="24"/>
  <c r="K39" i="24" s="1"/>
  <c r="D39" i="24"/>
  <c r="F37" i="24"/>
  <c r="C37" i="24"/>
  <c r="C36" i="24"/>
  <c r="H35" i="24"/>
  <c r="D35" i="24"/>
  <c r="E28" i="24"/>
  <c r="K28" i="24" s="1"/>
  <c r="E27" i="24"/>
  <c r="K27" i="24" s="1"/>
  <c r="E26" i="24"/>
  <c r="K26" i="24" s="1"/>
  <c r="F25" i="24"/>
  <c r="E25" i="24"/>
  <c r="K25" i="24" s="1"/>
  <c r="E24" i="24"/>
  <c r="K24" i="24" s="1"/>
  <c r="E23" i="24"/>
  <c r="K20" i="24"/>
  <c r="F50" i="24" l="1"/>
  <c r="J39" i="24"/>
  <c r="G46" i="24"/>
  <c r="F53" i="24"/>
  <c r="F57" i="24"/>
  <c r="I57" i="24" s="1"/>
  <c r="H23" i="24"/>
  <c r="J81" i="24"/>
  <c r="I83" i="24"/>
  <c r="G23" i="24"/>
  <c r="J23" i="24" s="1"/>
  <c r="I84" i="24"/>
  <c r="K50" i="24"/>
  <c r="I51" i="24"/>
  <c r="I52" i="24"/>
  <c r="J53" i="24"/>
  <c r="I37" i="24"/>
  <c r="J63" i="24"/>
  <c r="J68" i="24"/>
  <c r="I40" i="24"/>
  <c r="I41" i="24"/>
  <c r="I42" i="24"/>
  <c r="I43" i="24"/>
  <c r="I44" i="24"/>
  <c r="I45" i="24"/>
  <c r="J78" i="24"/>
  <c r="F78" i="24"/>
  <c r="I78" i="24" s="1"/>
  <c r="I25" i="24"/>
  <c r="I47" i="24"/>
  <c r="D36" i="6"/>
  <c r="D35" i="6" s="1"/>
  <c r="I36" i="24"/>
  <c r="I48" i="24"/>
  <c r="J50" i="24"/>
  <c r="K53" i="24"/>
  <c r="I54" i="24"/>
  <c r="I55" i="24"/>
  <c r="I56" i="24"/>
  <c r="E85" i="6"/>
  <c r="F85" i="6" s="1"/>
  <c r="E88" i="6"/>
  <c r="F88" i="6" s="1"/>
  <c r="E91" i="6"/>
  <c r="F91" i="6" s="1"/>
  <c r="E93" i="6"/>
  <c r="F93" i="6" s="1"/>
  <c r="E97" i="6"/>
  <c r="F97" i="6" s="1"/>
  <c r="E98" i="6"/>
  <c r="F98" i="6" s="1"/>
  <c r="E100" i="6"/>
  <c r="F100" i="6" s="1"/>
  <c r="E103" i="6"/>
  <c r="F103" i="6" s="1"/>
  <c r="E104" i="6"/>
  <c r="F104" i="6" s="1"/>
  <c r="E106" i="6"/>
  <c r="F106" i="6" s="1"/>
  <c r="E108" i="6"/>
  <c r="F108" i="6" s="1"/>
  <c r="E110" i="6"/>
  <c r="F110" i="6" s="1"/>
  <c r="E112" i="6"/>
  <c r="F112" i="6" s="1"/>
  <c r="E113" i="6"/>
  <c r="F113" i="6" s="1"/>
  <c r="E115" i="6"/>
  <c r="F115" i="6" s="1"/>
  <c r="E133" i="6"/>
  <c r="F133" i="6" s="1"/>
  <c r="E135" i="6"/>
  <c r="F135" i="6" s="1"/>
  <c r="E137" i="6"/>
  <c r="F137" i="6" s="1"/>
  <c r="E139" i="6"/>
  <c r="F139" i="6" s="1"/>
  <c r="E141" i="6"/>
  <c r="F141" i="6" s="1"/>
  <c r="E84" i="6"/>
  <c r="F84" i="6" s="1"/>
  <c r="E89" i="6"/>
  <c r="F89" i="6" s="1"/>
  <c r="E92" i="6"/>
  <c r="F92" i="6" s="1"/>
  <c r="E94" i="6"/>
  <c r="F94" i="6" s="1"/>
  <c r="E95" i="6"/>
  <c r="F95" i="6" s="1"/>
  <c r="E99" i="6"/>
  <c r="F99" i="6" s="1"/>
  <c r="E102" i="6"/>
  <c r="F102" i="6" s="1"/>
  <c r="E105" i="6"/>
  <c r="F105" i="6" s="1"/>
  <c r="E107" i="6"/>
  <c r="F107" i="6" s="1"/>
  <c r="E109" i="6"/>
  <c r="F109" i="6" s="1"/>
  <c r="C81" i="24"/>
  <c r="E81" i="24"/>
  <c r="K81" i="24" s="1"/>
  <c r="E120" i="6"/>
  <c r="F120" i="6" s="1"/>
  <c r="E125" i="6"/>
  <c r="F125" i="6" s="1"/>
  <c r="E134" i="6"/>
  <c r="F134" i="6" s="1"/>
  <c r="E136" i="6"/>
  <c r="F136" i="6" s="1"/>
  <c r="E138" i="6"/>
  <c r="F138" i="6" s="1"/>
  <c r="E140" i="6"/>
  <c r="F140" i="6" s="1"/>
  <c r="C35" i="24"/>
  <c r="F68" i="24"/>
  <c r="I68" i="24" s="1"/>
  <c r="F81" i="24"/>
  <c r="E78" i="24"/>
  <c r="K78" i="24" s="1"/>
  <c r="F39" i="24"/>
  <c r="E63" i="24"/>
  <c r="K63" i="24" s="1"/>
  <c r="G38" i="24"/>
  <c r="G21" i="24" s="1"/>
  <c r="J21" i="24" s="1"/>
  <c r="E80" i="6"/>
  <c r="F80" i="6" s="1"/>
  <c r="E81" i="6"/>
  <c r="E87" i="6"/>
  <c r="C39" i="24"/>
  <c r="F63" i="24"/>
  <c r="I63" i="24" s="1"/>
  <c r="E68" i="24"/>
  <c r="K68" i="24" s="1"/>
  <c r="D46" i="24"/>
  <c r="J46" i="24" s="1"/>
  <c r="H46" i="24"/>
  <c r="C53" i="24"/>
  <c r="I53" i="24" s="1"/>
  <c r="C50" i="24"/>
  <c r="I50" i="24" s="1"/>
  <c r="I39" i="24" l="1"/>
  <c r="I81" i="24"/>
  <c r="E90" i="6"/>
  <c r="E114" i="6"/>
  <c r="F114" i="6" s="1"/>
  <c r="E111" i="6"/>
  <c r="E101" i="6"/>
  <c r="F101" i="6" s="1"/>
  <c r="E96" i="6"/>
  <c r="G10" i="24"/>
  <c r="G9" i="24" s="1"/>
  <c r="E35" i="24"/>
  <c r="K35" i="24" s="1"/>
  <c r="E86" i="6"/>
  <c r="F86" i="6" s="1"/>
  <c r="F87" i="6"/>
  <c r="H38" i="24"/>
  <c r="H34" i="24" s="1"/>
  <c r="E46" i="24"/>
  <c r="K46" i="24" s="1"/>
  <c r="F46" i="24"/>
  <c r="C46" i="24"/>
  <c r="D38" i="24"/>
  <c r="E22" i="6" l="1"/>
  <c r="E79" i="6"/>
  <c r="E71" i="6" s="1"/>
  <c r="D34" i="24"/>
  <c r="J38" i="24"/>
  <c r="I46" i="24"/>
  <c r="F38" i="24"/>
  <c r="J10" i="24"/>
  <c r="C38" i="24"/>
  <c r="F22" i="6" l="1"/>
  <c r="E34" i="6"/>
  <c r="I38" i="24"/>
  <c r="C34" i="24"/>
  <c r="E38" i="24"/>
  <c r="D30" i="24"/>
  <c r="D8" i="24" s="1"/>
  <c r="F23" i="24" l="1"/>
  <c r="K23" i="24"/>
  <c r="E34" i="24"/>
  <c r="K34" i="24" s="1"/>
  <c r="K38" i="24"/>
  <c r="J9" i="24"/>
  <c r="C30" i="24"/>
  <c r="I23" i="24" l="1"/>
  <c r="E30" i="24"/>
  <c r="AZ44" i="23" l="1"/>
  <c r="AW44" i="23"/>
  <c r="AS44" i="23"/>
  <c r="AH44" i="23"/>
  <c r="AE44" i="23"/>
  <c r="AA44" i="23"/>
  <c r="Z44" i="23"/>
  <c r="Y44" i="23"/>
  <c r="Q44" i="23"/>
  <c r="N44" i="23"/>
  <c r="J44" i="23"/>
  <c r="I44" i="23"/>
  <c r="AZ43" i="23"/>
  <c r="AS43" i="23"/>
  <c r="AH43" i="23"/>
  <c r="AE43" i="23"/>
  <c r="AA43" i="23"/>
  <c r="Z43" i="23"/>
  <c r="Y43" i="23"/>
  <c r="Q43" i="23"/>
  <c r="O43" i="23"/>
  <c r="AW43" i="23" s="1"/>
  <c r="J43" i="23"/>
  <c r="AR43" i="23" s="1"/>
  <c r="I43" i="23"/>
  <c r="AZ42" i="23"/>
  <c r="AS42" i="23"/>
  <c r="AH42" i="23"/>
  <c r="AE42" i="23"/>
  <c r="AA42" i="23"/>
  <c r="Z42" i="23"/>
  <c r="Y42" i="23"/>
  <c r="Q42" i="23"/>
  <c r="O42" i="23"/>
  <c r="J42" i="23"/>
  <c r="I42" i="23"/>
  <c r="AZ41" i="23"/>
  <c r="AW41" i="23"/>
  <c r="AS41" i="23"/>
  <c r="AH41" i="23"/>
  <c r="AE41" i="23"/>
  <c r="AA41" i="23"/>
  <c r="Z41" i="23"/>
  <c r="Y41" i="23"/>
  <c r="Q41" i="23"/>
  <c r="N41" i="23"/>
  <c r="J41" i="23"/>
  <c r="I41" i="23"/>
  <c r="AZ40" i="23"/>
  <c r="AW40" i="23"/>
  <c r="AS40" i="23"/>
  <c r="AH40" i="23"/>
  <c r="AE40" i="23"/>
  <c r="AA40" i="23"/>
  <c r="Z40" i="23"/>
  <c r="Y40" i="23"/>
  <c r="Q40" i="23"/>
  <c r="N40" i="23"/>
  <c r="J40" i="23"/>
  <c r="I40" i="23"/>
  <c r="AZ39" i="23"/>
  <c r="AW39" i="23"/>
  <c r="AS39" i="23"/>
  <c r="AH39" i="23"/>
  <c r="AE39" i="23"/>
  <c r="AA39" i="23"/>
  <c r="Z39" i="23"/>
  <c r="Y39" i="23"/>
  <c r="Q39" i="23"/>
  <c r="N39" i="23"/>
  <c r="J39" i="23"/>
  <c r="I39" i="23"/>
  <c r="AZ38" i="23"/>
  <c r="AW38" i="23"/>
  <c r="AS38" i="23"/>
  <c r="AH38" i="23"/>
  <c r="AE38" i="23"/>
  <c r="AA38" i="23"/>
  <c r="X38" i="23"/>
  <c r="Q38" i="23"/>
  <c r="N38" i="23"/>
  <c r="J38" i="23"/>
  <c r="I38" i="23"/>
  <c r="AZ37" i="23"/>
  <c r="AS37" i="23"/>
  <c r="AH37" i="23"/>
  <c r="AE37" i="23"/>
  <c r="AA37" i="23"/>
  <c r="Z37" i="23"/>
  <c r="X37" i="23" s="1"/>
  <c r="Q37" i="23"/>
  <c r="AY37" i="23" s="1"/>
  <c r="O37" i="23"/>
  <c r="N37" i="23" s="1"/>
  <c r="J37" i="23"/>
  <c r="I37" i="23"/>
  <c r="AZ36" i="23"/>
  <c r="AS36" i="23"/>
  <c r="AH36" i="23"/>
  <c r="AE36" i="23"/>
  <c r="AA36" i="23"/>
  <c r="Z36" i="23"/>
  <c r="X36" i="23" s="1"/>
  <c r="Q36" i="23"/>
  <c r="O36" i="23"/>
  <c r="AW36" i="23" s="1"/>
  <c r="J36" i="23"/>
  <c r="E36" i="23" s="1"/>
  <c r="I36" i="23"/>
  <c r="AZ35" i="23"/>
  <c r="AH35" i="23"/>
  <c r="AE35" i="23"/>
  <c r="AB35" i="23"/>
  <c r="AA35" i="23" s="1"/>
  <c r="X35" i="23"/>
  <c r="Q35" i="23"/>
  <c r="O35" i="23"/>
  <c r="AW35" i="23" s="1"/>
  <c r="J35" i="23"/>
  <c r="I35" i="23"/>
  <c r="H47" i="23" s="1"/>
  <c r="AJ34" i="23"/>
  <c r="AI34" i="23"/>
  <c r="AG34" i="23"/>
  <c r="AF34" i="23"/>
  <c r="AC34" i="23"/>
  <c r="S34" i="23"/>
  <c r="R34" i="23"/>
  <c r="P34" i="23"/>
  <c r="L34" i="23"/>
  <c r="K34" i="23"/>
  <c r="AP33" i="23"/>
  <c r="Q33" i="23"/>
  <c r="AY33" i="23" s="1"/>
  <c r="N33" i="23"/>
  <c r="J33" i="23"/>
  <c r="E33" i="23" s="1"/>
  <c r="AM33" i="23" s="1"/>
  <c r="G33" i="23"/>
  <c r="AO33" i="23" s="1"/>
  <c r="AP32" i="23"/>
  <c r="Q32" i="23"/>
  <c r="AY32" i="23" s="1"/>
  <c r="N32" i="23"/>
  <c r="AV32" i="23" s="1"/>
  <c r="J32" i="23"/>
  <c r="G32" i="23"/>
  <c r="AP31" i="23"/>
  <c r="Q31" i="23"/>
  <c r="AY31" i="23" s="1"/>
  <c r="N31" i="23"/>
  <c r="AV31" i="23" s="1"/>
  <c r="J31" i="23"/>
  <c r="AR31" i="23" s="1"/>
  <c r="G31" i="23"/>
  <c r="D31" i="23"/>
  <c r="Q30" i="23"/>
  <c r="N30" i="23"/>
  <c r="J30" i="23"/>
  <c r="G30" i="23"/>
  <c r="Q29" i="23"/>
  <c r="N29" i="23"/>
  <c r="M29" i="23" s="1"/>
  <c r="J29" i="23"/>
  <c r="G29" i="23"/>
  <c r="Q28" i="23"/>
  <c r="N28" i="23"/>
  <c r="J28" i="23"/>
  <c r="G28" i="23"/>
  <c r="F28" i="23" s="1"/>
  <c r="Q27" i="23"/>
  <c r="N27" i="23"/>
  <c r="J27" i="23"/>
  <c r="G27" i="23"/>
  <c r="D27" i="23" s="1"/>
  <c r="Q26" i="23"/>
  <c r="N26" i="23"/>
  <c r="J26" i="23"/>
  <c r="G26" i="23"/>
  <c r="Q25" i="23"/>
  <c r="N25" i="23"/>
  <c r="J25" i="23"/>
  <c r="G25" i="23"/>
  <c r="D25" i="23" s="1"/>
  <c r="AL25" i="23" s="1"/>
  <c r="Q24" i="23"/>
  <c r="N24" i="23"/>
  <c r="M24" i="23" s="1"/>
  <c r="J24" i="23"/>
  <c r="G24" i="23"/>
  <c r="F24" i="23" s="1"/>
  <c r="AS23" i="23"/>
  <c r="AH23" i="23"/>
  <c r="AE23" i="23"/>
  <c r="AA23" i="23"/>
  <c r="X23" i="23"/>
  <c r="Q23" i="23"/>
  <c r="N23" i="23"/>
  <c r="J23" i="23"/>
  <c r="E23" i="23" s="1"/>
  <c r="G23" i="23"/>
  <c r="AS22" i="23"/>
  <c r="AH22" i="23"/>
  <c r="AE22" i="23"/>
  <c r="AA22" i="23"/>
  <c r="X22" i="23"/>
  <c r="Q22" i="23"/>
  <c r="N22" i="23"/>
  <c r="J22" i="23"/>
  <c r="G22" i="23"/>
  <c r="AZ21" i="23"/>
  <c r="AH21" i="23"/>
  <c r="AE21" i="23"/>
  <c r="AA21" i="23"/>
  <c r="X21" i="23"/>
  <c r="Q21" i="23"/>
  <c r="N21" i="23"/>
  <c r="J21" i="23"/>
  <c r="G21" i="23"/>
  <c r="AZ20" i="23"/>
  <c r="AH20" i="23"/>
  <c r="AE20" i="23"/>
  <c r="AD20" i="23" s="1"/>
  <c r="AA20" i="23"/>
  <c r="V20" i="23" s="1"/>
  <c r="X20" i="23"/>
  <c r="Q20" i="23"/>
  <c r="N20" i="23"/>
  <c r="M20" i="23" s="1"/>
  <c r="J20" i="23"/>
  <c r="G20" i="23"/>
  <c r="AZ19" i="23"/>
  <c r="AH19" i="23"/>
  <c r="AE19" i="23"/>
  <c r="AA19" i="23"/>
  <c r="W19" i="23" s="1"/>
  <c r="X19" i="23"/>
  <c r="Q19" i="23"/>
  <c r="N19" i="23"/>
  <c r="J19" i="23"/>
  <c r="F19" i="23" s="1"/>
  <c r="G19" i="23"/>
  <c r="AZ18" i="23"/>
  <c r="AH18" i="23"/>
  <c r="AE18" i="23"/>
  <c r="AA18" i="23"/>
  <c r="X18" i="23"/>
  <c r="Q18" i="23"/>
  <c r="N18" i="23"/>
  <c r="J18" i="23"/>
  <c r="G18" i="23"/>
  <c r="AZ17" i="23"/>
  <c r="AH17" i="23"/>
  <c r="AE17" i="23"/>
  <c r="AA17" i="23"/>
  <c r="X17" i="23"/>
  <c r="Q17" i="23"/>
  <c r="AY17" i="23" s="1"/>
  <c r="N17" i="23"/>
  <c r="J17" i="23"/>
  <c r="G17" i="23"/>
  <c r="D17" i="23" s="1"/>
  <c r="AZ16" i="23"/>
  <c r="AH16" i="23"/>
  <c r="AE16" i="23"/>
  <c r="AA16" i="23"/>
  <c r="X16" i="23"/>
  <c r="Q16" i="23"/>
  <c r="N16" i="23"/>
  <c r="J16" i="23"/>
  <c r="G16" i="23"/>
  <c r="AZ15" i="23"/>
  <c r="AS15" i="23"/>
  <c r="AH15" i="23"/>
  <c r="AE15" i="23"/>
  <c r="AA15" i="23"/>
  <c r="X15" i="23"/>
  <c r="Q15" i="23"/>
  <c r="N15" i="23"/>
  <c r="M15" i="23" s="1"/>
  <c r="J15" i="23"/>
  <c r="G15" i="23"/>
  <c r="AZ14" i="23"/>
  <c r="AS14" i="23"/>
  <c r="AH14" i="23"/>
  <c r="AE14" i="23"/>
  <c r="AA14" i="23"/>
  <c r="X14" i="23"/>
  <c r="Q14" i="23"/>
  <c r="N14" i="23"/>
  <c r="J14" i="23"/>
  <c r="G14" i="23"/>
  <c r="AJ13" i="23"/>
  <c r="AI13" i="23"/>
  <c r="AG13" i="23"/>
  <c r="AG12" i="23" s="1"/>
  <c r="AF13" i="23"/>
  <c r="AC13" i="23"/>
  <c r="AB13" i="23"/>
  <c r="Z13" i="23"/>
  <c r="Y13" i="23"/>
  <c r="S13" i="23"/>
  <c r="R13" i="23"/>
  <c r="P13" i="23"/>
  <c r="P12" i="23" s="1"/>
  <c r="O13" i="23"/>
  <c r="L13" i="23"/>
  <c r="K13" i="23"/>
  <c r="I13" i="23"/>
  <c r="H13" i="23"/>
  <c r="L12" i="23" l="1"/>
  <c r="V22" i="23"/>
  <c r="D21" i="23"/>
  <c r="V17" i="23"/>
  <c r="D18" i="23"/>
  <c r="D22" i="23"/>
  <c r="V15" i="23"/>
  <c r="U23" i="23"/>
  <c r="X39" i="23"/>
  <c r="M41" i="23"/>
  <c r="H39" i="23"/>
  <c r="H51" i="23"/>
  <c r="H40" i="23"/>
  <c r="G40" i="23" s="1"/>
  <c r="D40" i="23" s="1"/>
  <c r="H52" i="23"/>
  <c r="H41" i="23"/>
  <c r="G41" i="23" s="1"/>
  <c r="H53" i="23"/>
  <c r="H42" i="23"/>
  <c r="G42" i="23" s="1"/>
  <c r="H54" i="23"/>
  <c r="H44" i="23"/>
  <c r="G44" i="23" s="1"/>
  <c r="H56" i="23"/>
  <c r="G36" i="23"/>
  <c r="F36" i="23" s="1"/>
  <c r="H48" i="23"/>
  <c r="G37" i="23"/>
  <c r="H49" i="23"/>
  <c r="G38" i="23"/>
  <c r="H50" i="23"/>
  <c r="H43" i="23"/>
  <c r="G43" i="23" s="1"/>
  <c r="H55" i="23"/>
  <c r="AI12" i="23"/>
  <c r="AR40" i="23"/>
  <c r="AH13" i="23"/>
  <c r="M17" i="23"/>
  <c r="E18" i="23"/>
  <c r="F22" i="23"/>
  <c r="V21" i="23"/>
  <c r="K12" i="23"/>
  <c r="V14" i="23"/>
  <c r="U35" i="23"/>
  <c r="U39" i="23"/>
  <c r="S12" i="23"/>
  <c r="M18" i="23"/>
  <c r="F20" i="23"/>
  <c r="E35" i="23"/>
  <c r="U36" i="23"/>
  <c r="E42" i="23"/>
  <c r="AR42" i="23"/>
  <c r="W37" i="23"/>
  <c r="AD37" i="23"/>
  <c r="AV39" i="23"/>
  <c r="AZ13" i="23"/>
  <c r="AD14" i="23"/>
  <c r="F15" i="23"/>
  <c r="AD15" i="23"/>
  <c r="AU15" i="23" s="1"/>
  <c r="M16" i="23"/>
  <c r="W16" i="23"/>
  <c r="AD16" i="23"/>
  <c r="AD19" i="23"/>
  <c r="M22" i="23"/>
  <c r="W22" i="23"/>
  <c r="AN22" i="23" s="1"/>
  <c r="M25" i="23"/>
  <c r="M26" i="23"/>
  <c r="M27" i="23"/>
  <c r="F29" i="23"/>
  <c r="AF12" i="23"/>
  <c r="AR15" i="23"/>
  <c r="AY35" i="23"/>
  <c r="N36" i="23"/>
  <c r="M36" i="23" s="1"/>
  <c r="M38" i="23"/>
  <c r="AD39" i="23"/>
  <c r="E41" i="23"/>
  <c r="V43" i="23"/>
  <c r="AV44" i="23"/>
  <c r="AU20" i="23"/>
  <c r="V16" i="23"/>
  <c r="E19" i="23"/>
  <c r="M19" i="23"/>
  <c r="AY20" i="23"/>
  <c r="AD21" i="23"/>
  <c r="AD22" i="23"/>
  <c r="M23" i="23"/>
  <c r="AD23" i="23"/>
  <c r="D29" i="23"/>
  <c r="AL29" i="23" s="1"/>
  <c r="M31" i="23"/>
  <c r="AU31" i="23" s="1"/>
  <c r="D32" i="23"/>
  <c r="AL32" i="23" s="1"/>
  <c r="N35" i="23"/>
  <c r="M35" i="23" s="1"/>
  <c r="V37" i="23"/>
  <c r="F38" i="23"/>
  <c r="E39" i="23"/>
  <c r="AY41" i="23"/>
  <c r="AY43" i="23"/>
  <c r="U17" i="23"/>
  <c r="T17" i="23" s="1"/>
  <c r="U20" i="23"/>
  <c r="T20" i="23" s="1"/>
  <c r="D30" i="23"/>
  <c r="AL30" i="23" s="1"/>
  <c r="Z34" i="23"/>
  <c r="E38" i="23"/>
  <c r="M40" i="23"/>
  <c r="AS13" i="23"/>
  <c r="G13" i="23"/>
  <c r="W14" i="23"/>
  <c r="AY14" i="23"/>
  <c r="E15" i="23"/>
  <c r="AM15" i="23" s="1"/>
  <c r="U15" i="23"/>
  <c r="T15" i="23" s="1"/>
  <c r="AY16" i="23"/>
  <c r="U19" i="23"/>
  <c r="F23" i="23"/>
  <c r="M28" i="23"/>
  <c r="M37" i="23"/>
  <c r="AU37" i="23" s="1"/>
  <c r="AR33" i="23"/>
  <c r="X13" i="23"/>
  <c r="AC12" i="23"/>
  <c r="AD18" i="23"/>
  <c r="AU18" i="23" s="1"/>
  <c r="Q13" i="23"/>
  <c r="F25" i="23"/>
  <c r="F27" i="23"/>
  <c r="AO32" i="23"/>
  <c r="AR38" i="23"/>
  <c r="AJ12" i="23"/>
  <c r="E14" i="23"/>
  <c r="AM14" i="23" s="1"/>
  <c r="D15" i="23"/>
  <c r="W15" i="23"/>
  <c r="AY15" i="23"/>
  <c r="F16" i="23"/>
  <c r="E17" i="23"/>
  <c r="C17" i="23" s="1"/>
  <c r="AD17" i="23"/>
  <c r="F18" i="23"/>
  <c r="W18" i="23"/>
  <c r="AY18" i="23"/>
  <c r="M21" i="23"/>
  <c r="E22" i="23"/>
  <c r="AM22" i="23" s="1"/>
  <c r="D26" i="23"/>
  <c r="AL26" i="23" s="1"/>
  <c r="E30" i="23"/>
  <c r="E31" i="23"/>
  <c r="AM31" i="23" s="1"/>
  <c r="M32" i="23"/>
  <c r="AU32" i="23" s="1"/>
  <c r="F33" i="23"/>
  <c r="AN33" i="23" s="1"/>
  <c r="V36" i="23"/>
  <c r="AM36" i="23" s="1"/>
  <c r="D38" i="23"/>
  <c r="M39" i="23"/>
  <c r="AU39" i="23" s="1"/>
  <c r="AY39" i="23"/>
  <c r="E40" i="23"/>
  <c r="V40" i="23"/>
  <c r="AR41" i="23"/>
  <c r="E43" i="23"/>
  <c r="N43" i="23"/>
  <c r="AR44" i="23"/>
  <c r="M14" i="23"/>
  <c r="E16" i="23"/>
  <c r="V18" i="23"/>
  <c r="AM18" i="23" s="1"/>
  <c r="AY19" i="23"/>
  <c r="W20" i="23"/>
  <c r="F21" i="23"/>
  <c r="U21" i="23"/>
  <c r="E26" i="23"/>
  <c r="E27" i="23"/>
  <c r="C27" i="23" s="1"/>
  <c r="M30" i="23"/>
  <c r="F31" i="23"/>
  <c r="AN31" i="23" s="1"/>
  <c r="AD35" i="23"/>
  <c r="AR36" i="23"/>
  <c r="AW37" i="23"/>
  <c r="W39" i="23"/>
  <c r="AY40" i="23"/>
  <c r="F43" i="23"/>
  <c r="V41" i="23"/>
  <c r="AR35" i="23"/>
  <c r="V35" i="23"/>
  <c r="G39" i="23"/>
  <c r="H34" i="23"/>
  <c r="H12" i="23" s="1"/>
  <c r="D19" i="23"/>
  <c r="AY21" i="23"/>
  <c r="AR22" i="23"/>
  <c r="D23" i="23"/>
  <c r="C23" i="23" s="1"/>
  <c r="AR23" i="23"/>
  <c r="W23" i="23"/>
  <c r="AA34" i="23"/>
  <c r="I34" i="23"/>
  <c r="I12" i="23" s="1"/>
  <c r="G35" i="23"/>
  <c r="AS35" i="23"/>
  <c r="AB34" i="23"/>
  <c r="AR37" i="23"/>
  <c r="F37" i="23"/>
  <c r="J34" i="23"/>
  <c r="AO38" i="23"/>
  <c r="U38" i="23"/>
  <c r="W38" i="23"/>
  <c r="AY38" i="23"/>
  <c r="AV40" i="23"/>
  <c r="AD40" i="23"/>
  <c r="AU40" i="23" s="1"/>
  <c r="F41" i="23"/>
  <c r="D41" i="23"/>
  <c r="AV41" i="23"/>
  <c r="AD41" i="23"/>
  <c r="AU41" i="23" s="1"/>
  <c r="N42" i="23"/>
  <c r="O34" i="23"/>
  <c r="F44" i="23"/>
  <c r="D44" i="23"/>
  <c r="E44" i="23"/>
  <c r="AY44" i="23"/>
  <c r="Z12" i="23"/>
  <c r="D14" i="23"/>
  <c r="AE13" i="23"/>
  <c r="AR14" i="23"/>
  <c r="D16" i="23"/>
  <c r="W17" i="23"/>
  <c r="D20" i="23"/>
  <c r="D24" i="23"/>
  <c r="D28" i="23"/>
  <c r="AR32" i="23"/>
  <c r="F32" i="23"/>
  <c r="AN32" i="23" s="1"/>
  <c r="E32" i="23"/>
  <c r="AM32" i="23" s="1"/>
  <c r="AZ34" i="23"/>
  <c r="AD36" i="23"/>
  <c r="AP39" i="23"/>
  <c r="Y34" i="23"/>
  <c r="X40" i="23"/>
  <c r="F42" i="23"/>
  <c r="AD43" i="23"/>
  <c r="V44" i="23"/>
  <c r="J13" i="23"/>
  <c r="N13" i="23"/>
  <c r="R12" i="23"/>
  <c r="AZ12" i="23" s="1"/>
  <c r="F14" i="23"/>
  <c r="U14" i="23"/>
  <c r="AA13" i="23"/>
  <c r="U16" i="23"/>
  <c r="F17" i="23"/>
  <c r="C18" i="23"/>
  <c r="U18" i="23"/>
  <c r="V19" i="23"/>
  <c r="E20" i="23"/>
  <c r="AM20" i="23" s="1"/>
  <c r="E21" i="23"/>
  <c r="C21" i="23" s="1"/>
  <c r="W21" i="23"/>
  <c r="U22" i="23"/>
  <c r="T22" i="23" s="1"/>
  <c r="V23" i="23"/>
  <c r="AM23" i="23" s="1"/>
  <c r="E24" i="23"/>
  <c r="E25" i="23"/>
  <c r="C25" i="23" s="1"/>
  <c r="F26" i="23"/>
  <c r="AL27" i="23"/>
  <c r="E28" i="23"/>
  <c r="E29" i="23"/>
  <c r="F30" i="23"/>
  <c r="AL31" i="23"/>
  <c r="AV33" i="23"/>
  <c r="M33" i="23"/>
  <c r="AU33" i="23" s="1"/>
  <c r="AE34" i="23"/>
  <c r="E37" i="23"/>
  <c r="F40" i="23"/>
  <c r="AP40" i="23"/>
  <c r="AP42" i="23"/>
  <c r="X42" i="23"/>
  <c r="V42" i="23"/>
  <c r="AM42" i="23" s="1"/>
  <c r="AY42" i="23"/>
  <c r="AW42" i="23"/>
  <c r="AO31" i="23"/>
  <c r="W36" i="23"/>
  <c r="AO36" i="23"/>
  <c r="AD38" i="23"/>
  <c r="AV38" i="23"/>
  <c r="V39" i="23"/>
  <c r="AR39" i="23"/>
  <c r="AP41" i="23"/>
  <c r="X41" i="23"/>
  <c r="AP43" i="23"/>
  <c r="X43" i="23"/>
  <c r="AH34" i="23"/>
  <c r="AH12" i="23" s="1"/>
  <c r="W35" i="23"/>
  <c r="AY36" i="23"/>
  <c r="D37" i="23"/>
  <c r="Q34" i="23"/>
  <c r="AO37" i="23"/>
  <c r="U37" i="23"/>
  <c r="AV37" i="23"/>
  <c r="AD42" i="23"/>
  <c r="M44" i="23"/>
  <c r="AP44" i="23"/>
  <c r="X44" i="23"/>
  <c r="AD44" i="23"/>
  <c r="D33" i="23"/>
  <c r="V38" i="23"/>
  <c r="AP34" i="23" l="1"/>
  <c r="AU38" i="23"/>
  <c r="C26" i="23"/>
  <c r="AV36" i="23"/>
  <c r="AK17" i="23"/>
  <c r="C16" i="23"/>
  <c r="AU14" i="23"/>
  <c r="AN15" i="23"/>
  <c r="AN36" i="23"/>
  <c r="C22" i="23"/>
  <c r="AM19" i="23"/>
  <c r="C38" i="23"/>
  <c r="AM38" i="23"/>
  <c r="AU36" i="23"/>
  <c r="AN38" i="23"/>
  <c r="AN37" i="23"/>
  <c r="C19" i="23"/>
  <c r="AU35" i="23"/>
  <c r="AM43" i="23"/>
  <c r="AU17" i="23"/>
  <c r="AU16" i="23"/>
  <c r="T16" i="23"/>
  <c r="AK16" i="23" s="1"/>
  <c r="T21" i="23"/>
  <c r="AK21" i="23" s="1"/>
  <c r="AV35" i="23"/>
  <c r="AU19" i="23"/>
  <c r="AU21" i="23"/>
  <c r="C41" i="23"/>
  <c r="AM41" i="23"/>
  <c r="D36" i="23"/>
  <c r="AR34" i="23"/>
  <c r="T18" i="23"/>
  <c r="AK18" i="23" s="1"/>
  <c r="AN23" i="23"/>
  <c r="AD13" i="23"/>
  <c r="G32" i="24" s="1"/>
  <c r="J32" i="24" s="1"/>
  <c r="C31" i="23"/>
  <c r="AK31" i="23" s="1"/>
  <c r="C37" i="23"/>
  <c r="C29" i="23"/>
  <c r="AM16" i="23"/>
  <c r="AM40" i="23"/>
  <c r="C30" i="23"/>
  <c r="C15" i="23"/>
  <c r="AK15" i="23" s="1"/>
  <c r="Q12" i="23"/>
  <c r="AY12" i="23" s="1"/>
  <c r="AD34" i="23"/>
  <c r="AY13" i="23"/>
  <c r="M43" i="23"/>
  <c r="AU43" i="23" s="1"/>
  <c r="D43" i="23"/>
  <c r="C43" i="23" s="1"/>
  <c r="AV43" i="23"/>
  <c r="T19" i="23"/>
  <c r="M13" i="23"/>
  <c r="C40" i="23"/>
  <c r="AK22" i="23"/>
  <c r="W13" i="23"/>
  <c r="AE12" i="23"/>
  <c r="AM17" i="23"/>
  <c r="V13" i="23"/>
  <c r="T36" i="23"/>
  <c r="AO42" i="23"/>
  <c r="W42" i="23"/>
  <c r="AN42" i="23" s="1"/>
  <c r="U42" i="23"/>
  <c r="AL24" i="23"/>
  <c r="C24" i="23"/>
  <c r="AS34" i="23"/>
  <c r="AB12" i="23"/>
  <c r="AS12" i="23" s="1"/>
  <c r="D39" i="23"/>
  <c r="F39" i="23"/>
  <c r="AN39" i="23" s="1"/>
  <c r="AO39" i="23"/>
  <c r="C33" i="23"/>
  <c r="AK33" i="23" s="1"/>
  <c r="AL33" i="23"/>
  <c r="AL37" i="23"/>
  <c r="T37" i="23"/>
  <c r="AO43" i="23"/>
  <c r="W43" i="23"/>
  <c r="AN43" i="23" s="1"/>
  <c r="U43" i="23"/>
  <c r="E34" i="23"/>
  <c r="AM37" i="23"/>
  <c r="AR13" i="23"/>
  <c r="AA12" i="23"/>
  <c r="AO40" i="23"/>
  <c r="W40" i="23"/>
  <c r="AN40" i="23" s="1"/>
  <c r="U40" i="23"/>
  <c r="AL28" i="23"/>
  <c r="C28" i="23"/>
  <c r="T23" i="23"/>
  <c r="AK23" i="23" s="1"/>
  <c r="AW34" i="23"/>
  <c r="O12" i="23"/>
  <c r="AW12" i="23" s="1"/>
  <c r="AM35" i="23"/>
  <c r="V34" i="23"/>
  <c r="AU44" i="23"/>
  <c r="AM39" i="23"/>
  <c r="T39" i="23"/>
  <c r="X34" i="23"/>
  <c r="U13" i="23"/>
  <c r="T14" i="23"/>
  <c r="J12" i="23"/>
  <c r="T35" i="23"/>
  <c r="C20" i="23"/>
  <c r="AK20" i="23" s="1"/>
  <c r="M42" i="23"/>
  <c r="N34" i="23"/>
  <c r="AV34" i="23" s="1"/>
  <c r="F35" i="23"/>
  <c r="AO35" i="23"/>
  <c r="D35" i="23"/>
  <c r="G34" i="23"/>
  <c r="G12" i="23" s="1"/>
  <c r="E13" i="23"/>
  <c r="AM13" i="23" s="1"/>
  <c r="U44" i="23"/>
  <c r="AO44" i="23"/>
  <c r="W44" i="23"/>
  <c r="AN44" i="23" s="1"/>
  <c r="AV42" i="23"/>
  <c r="AY34" i="23"/>
  <c r="AO41" i="23"/>
  <c r="W41" i="23"/>
  <c r="AN41" i="23" s="1"/>
  <c r="U41" i="23"/>
  <c r="C32" i="23"/>
  <c r="AK32" i="23" s="1"/>
  <c r="AN14" i="23"/>
  <c r="F13" i="23"/>
  <c r="AM44" i="23"/>
  <c r="D42" i="23"/>
  <c r="C42" i="23" s="1"/>
  <c r="D13" i="23"/>
  <c r="C14" i="23"/>
  <c r="C44" i="23"/>
  <c r="AL38" i="23"/>
  <c r="T38" i="23"/>
  <c r="AM21" i="23"/>
  <c r="Y12" i="23"/>
  <c r="AP12" i="23" s="1"/>
  <c r="AK38" i="23" l="1"/>
  <c r="AK19" i="23"/>
  <c r="AK37" i="23"/>
  <c r="C36" i="23"/>
  <c r="AK36" i="23" s="1"/>
  <c r="AL36" i="23"/>
  <c r="M34" i="23"/>
  <c r="M12" i="23" s="1"/>
  <c r="AD12" i="23"/>
  <c r="E32" i="6" s="1"/>
  <c r="C13" i="23"/>
  <c r="AU13" i="23"/>
  <c r="U34" i="23"/>
  <c r="U12" i="23" s="1"/>
  <c r="AM34" i="23"/>
  <c r="N12" i="23"/>
  <c r="AV12" i="23" s="1"/>
  <c r="F34" i="23"/>
  <c r="F12" i="23" s="1"/>
  <c r="W34" i="23"/>
  <c r="W12" i="23" s="1"/>
  <c r="E33" i="6" s="1"/>
  <c r="AN35" i="23"/>
  <c r="AL41" i="23"/>
  <c r="T41" i="23"/>
  <c r="AK41" i="23" s="1"/>
  <c r="AL44" i="23"/>
  <c r="T44" i="23"/>
  <c r="AK44" i="23" s="1"/>
  <c r="AO34" i="23"/>
  <c r="X12" i="23"/>
  <c r="AO12" i="23" s="1"/>
  <c r="AL40" i="23"/>
  <c r="T40" i="23"/>
  <c r="AK40" i="23" s="1"/>
  <c r="AR12" i="23"/>
  <c r="AL43" i="23"/>
  <c r="T43" i="23"/>
  <c r="AK43" i="23" s="1"/>
  <c r="C39" i="23"/>
  <c r="AK39" i="23" s="1"/>
  <c r="AL39" i="23"/>
  <c r="E12" i="23"/>
  <c r="D34" i="23"/>
  <c r="C35" i="23"/>
  <c r="AL35" i="23"/>
  <c r="AK14" i="23"/>
  <c r="T13" i="23"/>
  <c r="AU42" i="23"/>
  <c r="V12" i="23"/>
  <c r="E20" i="6" s="1"/>
  <c r="AL42" i="23"/>
  <c r="T42" i="23"/>
  <c r="AK42" i="23" s="1"/>
  <c r="AN13" i="23"/>
  <c r="AU34" i="23" l="1"/>
  <c r="E24" i="4"/>
  <c r="E11" i="6"/>
  <c r="F12" i="24" s="1"/>
  <c r="E25" i="4"/>
  <c r="AU12" i="23"/>
  <c r="AN34" i="23"/>
  <c r="G31" i="24"/>
  <c r="J31" i="24" s="1"/>
  <c r="F32" i="24"/>
  <c r="AN12" i="23"/>
  <c r="AL34" i="23"/>
  <c r="AM12" i="23"/>
  <c r="C34" i="23"/>
  <c r="C12" i="23" s="1"/>
  <c r="AK35" i="23"/>
  <c r="AK13" i="23"/>
  <c r="T34" i="23"/>
  <c r="D12" i="23"/>
  <c r="AL12" i="23" s="1"/>
  <c r="AK34" i="23" l="1"/>
  <c r="H21" i="24"/>
  <c r="F20" i="6"/>
  <c r="G25" i="4"/>
  <c r="F25" i="4"/>
  <c r="F32" i="6"/>
  <c r="F33" i="24"/>
  <c r="H31" i="24"/>
  <c r="K31" i="24" s="1"/>
  <c r="T12" i="23"/>
  <c r="AK12" i="23" s="1"/>
  <c r="K21" i="24" l="1"/>
  <c r="H10" i="24"/>
  <c r="F21" i="24"/>
  <c r="F33" i="6"/>
  <c r="H30" i="24"/>
  <c r="F31" i="24"/>
  <c r="H9" i="24" l="1"/>
  <c r="H8" i="24" s="1"/>
  <c r="I21" i="24"/>
  <c r="F10" i="24"/>
  <c r="I31" i="24"/>
  <c r="K30" i="24"/>
  <c r="D31" i="4"/>
  <c r="D21" i="4" s="1"/>
  <c r="F9" i="24" l="1"/>
  <c r="D13" i="4"/>
  <c r="G13" i="4" l="1"/>
  <c r="F13" i="4"/>
  <c r="E31" i="6"/>
  <c r="E30" i="6" s="1"/>
  <c r="E12" i="4"/>
  <c r="E8" i="4" s="1"/>
  <c r="E32" i="4" l="1"/>
  <c r="G32" i="4" l="1"/>
  <c r="F32" i="4"/>
  <c r="AA11" i="18" l="1"/>
  <c r="P112" i="18"/>
  <c r="Q90" i="18"/>
  <c r="F20" i="18" l="1"/>
  <c r="F43" i="18"/>
  <c r="F14" i="18"/>
  <c r="F19" i="18"/>
  <c r="R13" i="18"/>
  <c r="E86" i="18"/>
  <c r="K86" i="18"/>
  <c r="P86" i="18"/>
  <c r="U86" i="18"/>
  <c r="E87" i="18"/>
  <c r="K87" i="18"/>
  <c r="P87" i="18"/>
  <c r="U87" i="18"/>
  <c r="Q22" i="18"/>
  <c r="W22" i="18"/>
  <c r="Q42" i="18"/>
  <c r="Q28" i="18"/>
  <c r="Q31" i="18"/>
  <c r="Q34" i="18"/>
  <c r="Q40" i="18"/>
  <c r="Q26" i="18"/>
  <c r="Q41" i="18"/>
  <c r="Q57" i="18"/>
  <c r="Q27" i="18"/>
  <c r="P15" i="18"/>
  <c r="E14" i="18" l="1"/>
  <c r="F13" i="18"/>
  <c r="F12" i="18" s="1"/>
  <c r="C87" i="18"/>
  <c r="C86" i="18"/>
  <c r="N87" i="18"/>
  <c r="N86" i="18"/>
  <c r="U35" i="18"/>
  <c r="P18" i="18" l="1"/>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90" i="18"/>
  <c r="P17" i="18"/>
  <c r="W14" i="18" l="1"/>
  <c r="N10" i="22"/>
  <c r="Q14" i="18" l="1"/>
  <c r="W13" i="18"/>
  <c r="P14" i="18"/>
  <c r="Q13" i="18"/>
  <c r="L20" i="22"/>
  <c r="K20" i="22" s="1"/>
  <c r="I20" i="22"/>
  <c r="L19" i="22"/>
  <c r="T19" i="22" s="1"/>
  <c r="I19" i="22"/>
  <c r="L18" i="22"/>
  <c r="K18" i="22" s="1"/>
  <c r="I18" i="22"/>
  <c r="L17" i="22"/>
  <c r="T17" i="22" s="1"/>
  <c r="K17" i="22"/>
  <c r="I17" i="22"/>
  <c r="L16" i="22"/>
  <c r="K16" i="22" s="1"/>
  <c r="I16" i="22"/>
  <c r="L15" i="22"/>
  <c r="T15" i="22" s="1"/>
  <c r="I15" i="22"/>
  <c r="L14" i="22"/>
  <c r="K14" i="22" s="1"/>
  <c r="I14" i="22"/>
  <c r="L13" i="22"/>
  <c r="T13" i="22" s="1"/>
  <c r="I13" i="22"/>
  <c r="L12" i="22"/>
  <c r="I12" i="22"/>
  <c r="L11" i="22"/>
  <c r="T11" i="22" s="1"/>
  <c r="R10" i="22"/>
  <c r="Q10" i="22"/>
  <c r="P10" i="22"/>
  <c r="O10" i="22"/>
  <c r="M10" i="22"/>
  <c r="J10" i="22"/>
  <c r="Z10" i="22" s="1"/>
  <c r="H10" i="22"/>
  <c r="F10" i="22"/>
  <c r="V10" i="22" s="1"/>
  <c r="D10" i="22"/>
  <c r="K20" i="21"/>
  <c r="AE20" i="21" s="1"/>
  <c r="G20" i="21"/>
  <c r="AD20" i="21" s="1"/>
  <c r="D20" i="21"/>
  <c r="AC20" i="21" s="1"/>
  <c r="K19" i="21"/>
  <c r="AE19" i="21" s="1"/>
  <c r="G19" i="21"/>
  <c r="AD19" i="21" s="1"/>
  <c r="D19" i="21"/>
  <c r="AC19" i="21" s="1"/>
  <c r="K18" i="21"/>
  <c r="AE18" i="21" s="1"/>
  <c r="G18" i="21"/>
  <c r="AD18" i="21" s="1"/>
  <c r="D18" i="21"/>
  <c r="AC18" i="21" s="1"/>
  <c r="K17" i="21"/>
  <c r="AE17" i="21" s="1"/>
  <c r="G17" i="21"/>
  <c r="AD17" i="21" s="1"/>
  <c r="D17" i="21"/>
  <c r="AC17" i="21" s="1"/>
  <c r="K16" i="21"/>
  <c r="AE16" i="21" s="1"/>
  <c r="G16" i="21"/>
  <c r="AD16" i="21" s="1"/>
  <c r="D16" i="21"/>
  <c r="AC16" i="21" s="1"/>
  <c r="K15" i="21"/>
  <c r="AE15" i="21" s="1"/>
  <c r="G15" i="21"/>
  <c r="AD15" i="21" s="1"/>
  <c r="D15" i="21"/>
  <c r="AC15" i="21" s="1"/>
  <c r="K14" i="21"/>
  <c r="AE14" i="21" s="1"/>
  <c r="G14" i="21"/>
  <c r="AD14" i="21" s="1"/>
  <c r="D14" i="21"/>
  <c r="AC14" i="21" s="1"/>
  <c r="K13" i="21"/>
  <c r="AE13" i="21" s="1"/>
  <c r="G13" i="21"/>
  <c r="AD13" i="21" s="1"/>
  <c r="D13" i="21"/>
  <c r="AC13" i="21" s="1"/>
  <c r="K12" i="21"/>
  <c r="AE12" i="21" s="1"/>
  <c r="G12" i="21"/>
  <c r="AD12" i="21" s="1"/>
  <c r="D12" i="21"/>
  <c r="AC12" i="21" s="1"/>
  <c r="W11" i="21"/>
  <c r="K11" i="21"/>
  <c r="G11" i="21"/>
  <c r="AD11" i="21" s="1"/>
  <c r="D11" i="21"/>
  <c r="AC11" i="21" s="1"/>
  <c r="Z10" i="21"/>
  <c r="Y10" i="21"/>
  <c r="X10" i="21"/>
  <c r="V10" i="21"/>
  <c r="U10" i="21"/>
  <c r="T10" i="21"/>
  <c r="S10" i="21"/>
  <c r="R10" i="21"/>
  <c r="H14" i="24" s="1"/>
  <c r="F14" i="24" s="1"/>
  <c r="E13" i="6" s="1"/>
  <c r="Q10" i="21"/>
  <c r="N10" i="21"/>
  <c r="M10" i="21"/>
  <c r="J10" i="21"/>
  <c r="I10" i="21"/>
  <c r="H10" i="21"/>
  <c r="F10" i="21"/>
  <c r="E10" i="21"/>
  <c r="E14" i="24" s="1"/>
  <c r="C14" i="24" l="1"/>
  <c r="K14" i="24"/>
  <c r="K13" i="22"/>
  <c r="Y11" i="22"/>
  <c r="E11" i="22"/>
  <c r="Y14" i="22"/>
  <c r="E14" i="22"/>
  <c r="Y15" i="22"/>
  <c r="E15" i="22"/>
  <c r="Y18" i="22"/>
  <c r="E18" i="22"/>
  <c r="Y19" i="22"/>
  <c r="E19" i="22"/>
  <c r="AE11" i="21"/>
  <c r="P11" i="21"/>
  <c r="X10" i="22"/>
  <c r="K11" i="22"/>
  <c r="Y12" i="22"/>
  <c r="E12" i="22"/>
  <c r="Y13" i="22"/>
  <c r="E13" i="22"/>
  <c r="K15" i="22"/>
  <c r="Y16" i="22"/>
  <c r="E16" i="22"/>
  <c r="Y17" i="22"/>
  <c r="E17" i="22"/>
  <c r="K19" i="22"/>
  <c r="Y20" i="22"/>
  <c r="E20" i="22"/>
  <c r="D10" i="21"/>
  <c r="AC10" i="21" s="1"/>
  <c r="C13" i="21"/>
  <c r="AB13" i="21" s="1"/>
  <c r="W10" i="21"/>
  <c r="L10" i="22"/>
  <c r="C17" i="21"/>
  <c r="AB17" i="21" s="1"/>
  <c r="C15" i="21"/>
  <c r="AB15" i="21" s="1"/>
  <c r="C19" i="21"/>
  <c r="AB19" i="21" s="1"/>
  <c r="K10" i="21"/>
  <c r="G10" i="21"/>
  <c r="AD10" i="21" s="1"/>
  <c r="L10" i="21"/>
  <c r="C11" i="21"/>
  <c r="T10" i="22"/>
  <c r="I10" i="22"/>
  <c r="Y10" i="22" s="1"/>
  <c r="K12" i="22"/>
  <c r="T12" i="22"/>
  <c r="T14" i="22"/>
  <c r="T16" i="22"/>
  <c r="T18" i="22"/>
  <c r="T20" i="22"/>
  <c r="C12" i="21"/>
  <c r="AB12" i="21" s="1"/>
  <c r="C14" i="21"/>
  <c r="AB14" i="21" s="1"/>
  <c r="C16" i="21"/>
  <c r="AB16" i="21" s="1"/>
  <c r="C18" i="21"/>
  <c r="AB18" i="21" s="1"/>
  <c r="C20" i="21"/>
  <c r="AB20" i="21" s="1"/>
  <c r="D13" i="6" l="1"/>
  <c r="F13" i="6" s="1"/>
  <c r="I14" i="24"/>
  <c r="G17" i="22"/>
  <c r="W17" i="22" s="1"/>
  <c r="U17" i="22"/>
  <c r="G16" i="22"/>
  <c r="W16" i="22" s="1"/>
  <c r="U16" i="22"/>
  <c r="U20" i="22"/>
  <c r="G20" i="22"/>
  <c r="W20" i="22" s="1"/>
  <c r="G13" i="22"/>
  <c r="W13" i="22" s="1"/>
  <c r="U13" i="22"/>
  <c r="G12" i="22"/>
  <c r="W12" i="22" s="1"/>
  <c r="U12" i="22"/>
  <c r="AB11" i="21"/>
  <c r="P10" i="21"/>
  <c r="G19" i="22"/>
  <c r="W19" i="22" s="1"/>
  <c r="U19" i="22"/>
  <c r="G18" i="22"/>
  <c r="W18" i="22" s="1"/>
  <c r="U18" i="22"/>
  <c r="G15" i="22"/>
  <c r="W15" i="22" s="1"/>
  <c r="U15" i="22"/>
  <c r="G14" i="22"/>
  <c r="W14" i="22" s="1"/>
  <c r="U14" i="22"/>
  <c r="G11" i="22"/>
  <c r="U11" i="22"/>
  <c r="AE10" i="21"/>
  <c r="C19" i="22"/>
  <c r="S19" i="22" s="1"/>
  <c r="C16" i="22"/>
  <c r="S16" i="22" s="1"/>
  <c r="C17" i="22"/>
  <c r="S17" i="22" s="1"/>
  <c r="C13" i="22"/>
  <c r="S13" i="22" s="1"/>
  <c r="K10" i="22"/>
  <c r="C11" i="22"/>
  <c r="S11" i="22" s="1"/>
  <c r="C18" i="22"/>
  <c r="S18" i="22" s="1"/>
  <c r="C14" i="22"/>
  <c r="S14" i="22" s="1"/>
  <c r="C15" i="22"/>
  <c r="S15" i="22" s="1"/>
  <c r="C20" i="22"/>
  <c r="S20" i="22" s="1"/>
  <c r="C10" i="21"/>
  <c r="W11" i="22" l="1"/>
  <c r="G10" i="22"/>
  <c r="W10" i="22" s="1"/>
  <c r="AB10" i="21"/>
  <c r="C12" i="22"/>
  <c r="S12" i="22" s="1"/>
  <c r="E10" i="22"/>
  <c r="U10" i="22" s="1"/>
  <c r="C10" i="22" l="1"/>
  <c r="S10" i="22" s="1"/>
  <c r="E105" i="18" l="1"/>
  <c r="E106" i="18"/>
  <c r="AD106" i="18" s="1"/>
  <c r="E107" i="18"/>
  <c r="E108" i="18"/>
  <c r="E109" i="18"/>
  <c r="E110" i="18"/>
  <c r="E104" i="18"/>
  <c r="F103" i="18"/>
  <c r="C106" i="18" l="1"/>
  <c r="AB106" i="18" s="1"/>
  <c r="C110" i="18"/>
  <c r="AB110" i="18" s="1"/>
  <c r="AD110" i="18"/>
  <c r="C108" i="18"/>
  <c r="AB108" i="18" s="1"/>
  <c r="AD108" i="18"/>
  <c r="C104" i="18"/>
  <c r="AB104" i="18" s="1"/>
  <c r="AD104" i="18"/>
  <c r="C109" i="18"/>
  <c r="AB109" i="18" s="1"/>
  <c r="AD109" i="18"/>
  <c r="C107" i="18"/>
  <c r="AB107" i="18" s="1"/>
  <c r="AD107" i="18"/>
  <c r="C105" i="18"/>
  <c r="AB105" i="18" s="1"/>
  <c r="AD105" i="18"/>
  <c r="E53" i="18"/>
  <c r="AD53" i="18" s="1"/>
  <c r="K53" i="18"/>
  <c r="U53" i="18"/>
  <c r="N53" i="18" s="1"/>
  <c r="E54" i="18"/>
  <c r="AD54" i="18" s="1"/>
  <c r="K54" i="18"/>
  <c r="U54" i="18"/>
  <c r="N54" i="18" s="1"/>
  <c r="E15" i="18"/>
  <c r="E16" i="18"/>
  <c r="AD16" i="18" s="1"/>
  <c r="E17" i="18"/>
  <c r="AD17" i="18" s="1"/>
  <c r="E18" i="18"/>
  <c r="AD18" i="18" s="1"/>
  <c r="E19" i="18"/>
  <c r="AD19" i="18" s="1"/>
  <c r="E20" i="18"/>
  <c r="AD20" i="18" s="1"/>
  <c r="E21" i="18"/>
  <c r="AD21" i="18" s="1"/>
  <c r="E22" i="18"/>
  <c r="AD22" i="18" s="1"/>
  <c r="E23" i="18"/>
  <c r="AD23" i="18" s="1"/>
  <c r="E24" i="18"/>
  <c r="AD24" i="18" s="1"/>
  <c r="E25" i="18"/>
  <c r="AD25" i="18" s="1"/>
  <c r="E26" i="18"/>
  <c r="AD26" i="18" s="1"/>
  <c r="E27" i="18"/>
  <c r="AD27" i="18" s="1"/>
  <c r="E28" i="18"/>
  <c r="AD28" i="18" s="1"/>
  <c r="E29" i="18"/>
  <c r="AD29" i="18" s="1"/>
  <c r="E30" i="18"/>
  <c r="AD30" i="18" s="1"/>
  <c r="E31" i="18"/>
  <c r="AD31" i="18" s="1"/>
  <c r="E32" i="18"/>
  <c r="AD32" i="18" s="1"/>
  <c r="E33" i="18"/>
  <c r="AD33" i="18" s="1"/>
  <c r="E34" i="18"/>
  <c r="AD34" i="18" s="1"/>
  <c r="E35" i="18"/>
  <c r="AD35" i="18" s="1"/>
  <c r="E36" i="18"/>
  <c r="AD36" i="18" s="1"/>
  <c r="E37" i="18"/>
  <c r="AD37" i="18" s="1"/>
  <c r="E38" i="18"/>
  <c r="AD38" i="18" s="1"/>
  <c r="E39" i="18"/>
  <c r="AD39" i="18" s="1"/>
  <c r="E40" i="18"/>
  <c r="AD40" i="18" s="1"/>
  <c r="E41" i="18"/>
  <c r="AD41" i="18" s="1"/>
  <c r="E42" i="18"/>
  <c r="AD42" i="18" s="1"/>
  <c r="E43" i="18"/>
  <c r="AD43" i="18" s="1"/>
  <c r="E44" i="18"/>
  <c r="AD44" i="18" s="1"/>
  <c r="E45" i="18"/>
  <c r="AD45" i="18" s="1"/>
  <c r="E46" i="18"/>
  <c r="AD46" i="18" s="1"/>
  <c r="E47" i="18"/>
  <c r="AD47" i="18" s="1"/>
  <c r="E48" i="18"/>
  <c r="AD48" i="18" s="1"/>
  <c r="E49" i="18"/>
  <c r="AD49" i="18" s="1"/>
  <c r="E50" i="18"/>
  <c r="AD50" i="18" s="1"/>
  <c r="E51" i="18"/>
  <c r="AD51" i="18" s="1"/>
  <c r="E52" i="18"/>
  <c r="AD52" i="18" s="1"/>
  <c r="E55" i="18"/>
  <c r="AD55" i="18" s="1"/>
  <c r="E56" i="18"/>
  <c r="AD56" i="18" s="1"/>
  <c r="E57" i="18"/>
  <c r="AD57" i="18" s="1"/>
  <c r="E58" i="18"/>
  <c r="E59" i="18"/>
  <c r="AD59" i="18" s="1"/>
  <c r="E60" i="18"/>
  <c r="AD60" i="18" s="1"/>
  <c r="E61" i="18"/>
  <c r="AD61" i="18" s="1"/>
  <c r="E62" i="18"/>
  <c r="E63" i="18"/>
  <c r="AD63" i="18" s="1"/>
  <c r="E64" i="18"/>
  <c r="E65" i="18"/>
  <c r="E66" i="18"/>
  <c r="E67" i="18"/>
  <c r="E68" i="18"/>
  <c r="E69" i="18"/>
  <c r="E70" i="18"/>
  <c r="E71" i="18"/>
  <c r="E72" i="18"/>
  <c r="E73" i="18"/>
  <c r="E74" i="18"/>
  <c r="E75" i="18"/>
  <c r="E76" i="18"/>
  <c r="E77" i="18"/>
  <c r="E78" i="18"/>
  <c r="E79" i="18"/>
  <c r="E80" i="18"/>
  <c r="E81" i="18"/>
  <c r="E82" i="18"/>
  <c r="E83" i="18"/>
  <c r="E84" i="18"/>
  <c r="E85" i="18"/>
  <c r="E90" i="18"/>
  <c r="AD15" i="18" l="1"/>
  <c r="E13" i="18"/>
  <c r="AD14" i="18"/>
  <c r="C54" i="18"/>
  <c r="AB54" i="18" s="1"/>
  <c r="C53" i="18"/>
  <c r="AB53" i="18" s="1"/>
  <c r="U116" i="18" l="1"/>
  <c r="N116" i="18" s="1"/>
  <c r="K116" i="18"/>
  <c r="C116" i="18" s="1"/>
  <c r="U115" i="18"/>
  <c r="N115" i="18" s="1"/>
  <c r="K115" i="18"/>
  <c r="C115" i="18" s="1"/>
  <c r="U114" i="18"/>
  <c r="N114" i="18" s="1"/>
  <c r="K114" i="18"/>
  <c r="C114" i="18" s="1"/>
  <c r="X113" i="18"/>
  <c r="U113" i="18"/>
  <c r="K113" i="18"/>
  <c r="C113" i="18" s="1"/>
  <c r="X112" i="18"/>
  <c r="U112" i="18"/>
  <c r="K112" i="18"/>
  <c r="C112" i="18" s="1"/>
  <c r="X111" i="18"/>
  <c r="U111" i="18"/>
  <c r="K111" i="18"/>
  <c r="C111" i="18" s="1"/>
  <c r="E103" i="18"/>
  <c r="K102" i="18"/>
  <c r="X101" i="18"/>
  <c r="U101" i="18"/>
  <c r="K101" i="18"/>
  <c r="C101" i="18" s="1"/>
  <c r="X100" i="18"/>
  <c r="U100" i="18"/>
  <c r="K100" i="18"/>
  <c r="C100" i="18" s="1"/>
  <c r="X99" i="18"/>
  <c r="U99" i="18"/>
  <c r="K99" i="18"/>
  <c r="C99" i="18" s="1"/>
  <c r="X98" i="18"/>
  <c r="U98" i="18"/>
  <c r="K98" i="18"/>
  <c r="C98" i="18" s="1"/>
  <c r="X97" i="18"/>
  <c r="U97" i="18"/>
  <c r="K97" i="18"/>
  <c r="C97" i="18" s="1"/>
  <c r="X96" i="18"/>
  <c r="U96" i="18"/>
  <c r="N96" i="18" s="1"/>
  <c r="K96" i="18"/>
  <c r="C96" i="18" s="1"/>
  <c r="X95" i="18"/>
  <c r="U95" i="18"/>
  <c r="K95" i="18"/>
  <c r="C95" i="18" s="1"/>
  <c r="X94" i="18"/>
  <c r="U94" i="18"/>
  <c r="K94" i="18"/>
  <c r="C94" i="18" s="1"/>
  <c r="X93" i="18"/>
  <c r="U93" i="18"/>
  <c r="N93" i="18" s="1"/>
  <c r="K93" i="18"/>
  <c r="C93" i="18" s="1"/>
  <c r="X92" i="18"/>
  <c r="U92" i="18"/>
  <c r="N92" i="18" s="1"/>
  <c r="K92" i="18"/>
  <c r="C92" i="18" s="1"/>
  <c r="Z91" i="18"/>
  <c r="Y91" i="18"/>
  <c r="M91" i="18"/>
  <c r="J91" i="18"/>
  <c r="I91" i="18"/>
  <c r="E91" i="18"/>
  <c r="E12" i="18" s="1"/>
  <c r="D91" i="18"/>
  <c r="U90" i="18"/>
  <c r="N90" i="18" s="1"/>
  <c r="K90" i="18"/>
  <c r="C90" i="18" s="1"/>
  <c r="U85" i="18"/>
  <c r="N85" i="18" s="1"/>
  <c r="K85" i="18"/>
  <c r="C85" i="18" s="1"/>
  <c r="U84" i="18"/>
  <c r="K84" i="18"/>
  <c r="C84" i="18" s="1"/>
  <c r="U83" i="18"/>
  <c r="N83" i="18" s="1"/>
  <c r="K83" i="18"/>
  <c r="C83" i="18" s="1"/>
  <c r="U82" i="18"/>
  <c r="N82" i="18" s="1"/>
  <c r="K82" i="18"/>
  <c r="C82" i="18" s="1"/>
  <c r="U81" i="18"/>
  <c r="N81" i="18" s="1"/>
  <c r="K81" i="18"/>
  <c r="C81" i="18" s="1"/>
  <c r="U80" i="18"/>
  <c r="K80" i="18"/>
  <c r="C80" i="18" s="1"/>
  <c r="U79" i="18"/>
  <c r="N79" i="18" s="1"/>
  <c r="K79" i="18"/>
  <c r="C79" i="18" s="1"/>
  <c r="U78" i="18"/>
  <c r="N78" i="18" s="1"/>
  <c r="K78" i="18"/>
  <c r="C78" i="18" s="1"/>
  <c r="U77" i="18"/>
  <c r="N77" i="18" s="1"/>
  <c r="K77" i="18"/>
  <c r="C77" i="18" s="1"/>
  <c r="U76" i="18"/>
  <c r="N76" i="18" s="1"/>
  <c r="K76" i="18"/>
  <c r="C76" i="18" s="1"/>
  <c r="U75" i="18"/>
  <c r="N75" i="18" s="1"/>
  <c r="K75" i="18"/>
  <c r="C75" i="18" s="1"/>
  <c r="U74" i="18"/>
  <c r="N74" i="18" s="1"/>
  <c r="K74" i="18"/>
  <c r="C74" i="18" s="1"/>
  <c r="U73" i="18"/>
  <c r="N73" i="18" s="1"/>
  <c r="K73" i="18"/>
  <c r="C73" i="18" s="1"/>
  <c r="U72" i="18"/>
  <c r="N72" i="18" s="1"/>
  <c r="K72" i="18"/>
  <c r="C72" i="18" s="1"/>
  <c r="U71" i="18"/>
  <c r="N71" i="18" s="1"/>
  <c r="K71" i="18"/>
  <c r="C71" i="18" s="1"/>
  <c r="U70" i="18"/>
  <c r="N70" i="18" s="1"/>
  <c r="K70" i="18"/>
  <c r="C70" i="18" s="1"/>
  <c r="U69" i="18"/>
  <c r="N69" i="18" s="1"/>
  <c r="K69" i="18"/>
  <c r="C69" i="18" s="1"/>
  <c r="U68" i="18"/>
  <c r="N68" i="18" s="1"/>
  <c r="K68" i="18"/>
  <c r="C68" i="18" s="1"/>
  <c r="U67" i="18"/>
  <c r="N67" i="18" s="1"/>
  <c r="K67" i="18"/>
  <c r="C67" i="18" s="1"/>
  <c r="U66" i="18"/>
  <c r="N66" i="18" s="1"/>
  <c r="K66" i="18"/>
  <c r="C66" i="18" s="1"/>
  <c r="U65" i="18"/>
  <c r="N65" i="18" s="1"/>
  <c r="K65" i="18"/>
  <c r="C65" i="18" s="1"/>
  <c r="U64" i="18"/>
  <c r="N64" i="18" s="1"/>
  <c r="K64" i="18"/>
  <c r="C64" i="18" s="1"/>
  <c r="U63" i="18"/>
  <c r="N63" i="18" s="1"/>
  <c r="K63" i="18"/>
  <c r="C63" i="18" s="1"/>
  <c r="U62" i="18"/>
  <c r="N62" i="18" s="1"/>
  <c r="K62" i="18"/>
  <c r="C62" i="18" s="1"/>
  <c r="U61" i="18"/>
  <c r="N61" i="18" s="1"/>
  <c r="K61" i="18"/>
  <c r="C61" i="18" s="1"/>
  <c r="U60" i="18"/>
  <c r="N60" i="18" s="1"/>
  <c r="K60" i="18"/>
  <c r="C60" i="18" s="1"/>
  <c r="U59" i="18"/>
  <c r="K59" i="18"/>
  <c r="C59" i="18" s="1"/>
  <c r="U58" i="18"/>
  <c r="N58" i="18" s="1"/>
  <c r="K58" i="18"/>
  <c r="C58" i="18" s="1"/>
  <c r="U57" i="18"/>
  <c r="K57" i="18"/>
  <c r="C57" i="18" s="1"/>
  <c r="U56" i="18"/>
  <c r="K56" i="18"/>
  <c r="C56" i="18" s="1"/>
  <c r="U55" i="18"/>
  <c r="N55" i="18" s="1"/>
  <c r="K55" i="18"/>
  <c r="C55" i="18" s="1"/>
  <c r="U52" i="18"/>
  <c r="N52" i="18" s="1"/>
  <c r="K52" i="18"/>
  <c r="C52" i="18" s="1"/>
  <c r="U51" i="18"/>
  <c r="K51" i="18"/>
  <c r="C51" i="18" s="1"/>
  <c r="U50" i="18"/>
  <c r="N50" i="18" s="1"/>
  <c r="K50" i="18"/>
  <c r="C50" i="18" s="1"/>
  <c r="U49" i="18"/>
  <c r="K49" i="18"/>
  <c r="C49" i="18" s="1"/>
  <c r="U48" i="18"/>
  <c r="N48" i="18" s="1"/>
  <c r="K48" i="18"/>
  <c r="C48" i="18" s="1"/>
  <c r="U47" i="18"/>
  <c r="K47" i="18"/>
  <c r="C47" i="18" s="1"/>
  <c r="U46" i="18"/>
  <c r="N46" i="18" s="1"/>
  <c r="K46" i="18"/>
  <c r="C46" i="18" s="1"/>
  <c r="U45" i="18"/>
  <c r="K45" i="18"/>
  <c r="C45" i="18" s="1"/>
  <c r="U44" i="18"/>
  <c r="N44" i="18" s="1"/>
  <c r="K44" i="18"/>
  <c r="C44" i="18" s="1"/>
  <c r="U43" i="18"/>
  <c r="K43" i="18"/>
  <c r="C43" i="18" s="1"/>
  <c r="U42" i="18"/>
  <c r="K42" i="18"/>
  <c r="C42" i="18" s="1"/>
  <c r="U41" i="18"/>
  <c r="K41" i="18"/>
  <c r="C41" i="18" s="1"/>
  <c r="U40" i="18"/>
  <c r="K40" i="18"/>
  <c r="U39" i="18"/>
  <c r="N39" i="18" s="1"/>
  <c r="K39" i="18"/>
  <c r="C39" i="18" s="1"/>
  <c r="U38" i="18"/>
  <c r="N38" i="18" s="1"/>
  <c r="K38" i="18"/>
  <c r="C38" i="18" s="1"/>
  <c r="U37" i="18"/>
  <c r="K37" i="18"/>
  <c r="C37" i="18" s="1"/>
  <c r="N36" i="18"/>
  <c r="K36" i="18"/>
  <c r="C36" i="18" s="1"/>
  <c r="N35" i="18"/>
  <c r="K35" i="18"/>
  <c r="C35" i="18" s="1"/>
  <c r="U34" i="18"/>
  <c r="N34" i="18" s="1"/>
  <c r="K34" i="18"/>
  <c r="C34" i="18" s="1"/>
  <c r="U33" i="18"/>
  <c r="N33" i="18" s="1"/>
  <c r="K33" i="18"/>
  <c r="C33" i="18" s="1"/>
  <c r="U32" i="18"/>
  <c r="N32" i="18" s="1"/>
  <c r="K32" i="18"/>
  <c r="C32" i="18" s="1"/>
  <c r="U31" i="18"/>
  <c r="K31" i="18"/>
  <c r="C31" i="18" s="1"/>
  <c r="U30" i="18"/>
  <c r="K30" i="18"/>
  <c r="C30" i="18" s="1"/>
  <c r="U29" i="18"/>
  <c r="N29" i="18" s="1"/>
  <c r="K29" i="18"/>
  <c r="C29" i="18" s="1"/>
  <c r="U28" i="18"/>
  <c r="N28" i="18" s="1"/>
  <c r="K28" i="18"/>
  <c r="C28" i="18" s="1"/>
  <c r="U27" i="18"/>
  <c r="K27" i="18"/>
  <c r="C27" i="18" s="1"/>
  <c r="U26" i="18"/>
  <c r="K26" i="18"/>
  <c r="C26" i="18" s="1"/>
  <c r="U25" i="18"/>
  <c r="K25" i="18"/>
  <c r="C25" i="18" s="1"/>
  <c r="U24" i="18"/>
  <c r="N24" i="18" s="1"/>
  <c r="K24" i="18"/>
  <c r="C24" i="18" s="1"/>
  <c r="U23" i="18"/>
  <c r="N23" i="18" s="1"/>
  <c r="K23" i="18"/>
  <c r="C23" i="18" s="1"/>
  <c r="U22" i="18"/>
  <c r="K22" i="18"/>
  <c r="C22" i="18" s="1"/>
  <c r="U21" i="18"/>
  <c r="K21" i="18"/>
  <c r="C21" i="18" s="1"/>
  <c r="U20" i="18"/>
  <c r="K20" i="18"/>
  <c r="C20" i="18" s="1"/>
  <c r="U19" i="18"/>
  <c r="N19" i="18" s="1"/>
  <c r="K19" i="18"/>
  <c r="C19" i="18" s="1"/>
  <c r="U18" i="18"/>
  <c r="K18" i="18"/>
  <c r="C18" i="18" s="1"/>
  <c r="U17" i="18"/>
  <c r="N17" i="18" s="1"/>
  <c r="K17" i="18"/>
  <c r="C17" i="18" s="1"/>
  <c r="U16" i="18"/>
  <c r="N16" i="18" s="1"/>
  <c r="K16" i="18"/>
  <c r="C16" i="18" s="1"/>
  <c r="U15" i="18"/>
  <c r="N15" i="18" s="1"/>
  <c r="K15" i="18"/>
  <c r="C15" i="18" s="1"/>
  <c r="U14" i="18"/>
  <c r="K14" i="18"/>
  <c r="C14" i="18" s="1"/>
  <c r="Z13" i="18"/>
  <c r="Y13" i="18"/>
  <c r="W12" i="18"/>
  <c r="W11" i="18" s="1"/>
  <c r="V13" i="18"/>
  <c r="V12" i="18" s="1"/>
  <c r="V11" i="18" s="1"/>
  <c r="T13" i="18"/>
  <c r="T12" i="18" s="1"/>
  <c r="T11" i="18" s="1"/>
  <c r="S13" i="18"/>
  <c r="S12" i="18" s="1"/>
  <c r="S11" i="18" s="1"/>
  <c r="R12" i="18"/>
  <c r="R11" i="18" s="1"/>
  <c r="O12" i="18"/>
  <c r="M13" i="18"/>
  <c r="L13" i="18"/>
  <c r="J13" i="18"/>
  <c r="J12" i="18" s="1"/>
  <c r="J11" i="18" s="1"/>
  <c r="I13" i="18"/>
  <c r="G12" i="18"/>
  <c r="G11" i="18" s="1"/>
  <c r="E11" i="18" l="1"/>
  <c r="N94" i="18"/>
  <c r="AE94" i="18"/>
  <c r="N98" i="18"/>
  <c r="AE98" i="18"/>
  <c r="N14" i="18"/>
  <c r="AB14" i="18" s="1"/>
  <c r="AE14" i="18"/>
  <c r="AE22" i="18"/>
  <c r="AE26" i="18"/>
  <c r="AE40" i="18"/>
  <c r="AE42" i="18"/>
  <c r="N97" i="18"/>
  <c r="AE97" i="18"/>
  <c r="AE100" i="18"/>
  <c r="N27" i="18"/>
  <c r="AB27" i="18" s="1"/>
  <c r="AE27" i="18"/>
  <c r="AE41" i="18"/>
  <c r="N57" i="18"/>
  <c r="AE57" i="18"/>
  <c r="N95" i="18"/>
  <c r="AE95" i="18"/>
  <c r="N99" i="18"/>
  <c r="AE99" i="18"/>
  <c r="C102" i="18"/>
  <c r="AE102" i="18"/>
  <c r="N31" i="18"/>
  <c r="AE31" i="18"/>
  <c r="AC91" i="18"/>
  <c r="D12" i="18"/>
  <c r="Y12" i="18"/>
  <c r="Y11" i="18" s="1"/>
  <c r="O11" i="18"/>
  <c r="M12" i="18"/>
  <c r="M11" i="18" s="1"/>
  <c r="Z12" i="18"/>
  <c r="Z11" i="18" s="1"/>
  <c r="AB31" i="18"/>
  <c r="AB23" i="18"/>
  <c r="AB29" i="18"/>
  <c r="AB24" i="18"/>
  <c r="AB28" i="18"/>
  <c r="X91" i="18"/>
  <c r="AB39" i="18"/>
  <c r="AB52" i="18"/>
  <c r="AB55" i="18"/>
  <c r="AB57" i="18"/>
  <c r="AB60" i="18"/>
  <c r="AB61" i="18"/>
  <c r="AB63" i="18"/>
  <c r="AB38" i="18"/>
  <c r="AB15" i="18"/>
  <c r="AB16" i="18"/>
  <c r="AB17" i="18"/>
  <c r="AB19" i="18"/>
  <c r="AB32" i="18"/>
  <c r="AB33" i="18"/>
  <c r="AB34" i="18"/>
  <c r="AB35" i="18"/>
  <c r="AB36" i="18"/>
  <c r="AB44" i="18"/>
  <c r="AB46" i="18"/>
  <c r="AB48" i="18"/>
  <c r="AB50" i="18"/>
  <c r="C103" i="18"/>
  <c r="AB103" i="18" s="1"/>
  <c r="AD103" i="18"/>
  <c r="F11" i="18"/>
  <c r="N113" i="18"/>
  <c r="N111" i="18"/>
  <c r="I12" i="18"/>
  <c r="I11" i="18" s="1"/>
  <c r="N101" i="18"/>
  <c r="C40" i="18"/>
  <c r="K91" i="18"/>
  <c r="C91" i="18" s="1"/>
  <c r="N112" i="18"/>
  <c r="X13" i="18"/>
  <c r="N100" i="18"/>
  <c r="U91" i="18"/>
  <c r="U13" i="18"/>
  <c r="L12" i="18"/>
  <c r="L11" i="18" s="1"/>
  <c r="N41" i="18"/>
  <c r="AB41" i="18" s="1"/>
  <c r="P13" i="18"/>
  <c r="AD13" i="18" s="1"/>
  <c r="N30" i="18"/>
  <c r="AB30" i="18" s="1"/>
  <c r="N37" i="18"/>
  <c r="AB37" i="18" s="1"/>
  <c r="N47" i="18"/>
  <c r="AB47" i="18" s="1"/>
  <c r="N51" i="18"/>
  <c r="AB51" i="18" s="1"/>
  <c r="N59" i="18"/>
  <c r="AB59" i="18" s="1"/>
  <c r="N84" i="18"/>
  <c r="K13" i="18"/>
  <c r="C13" i="18" s="1"/>
  <c r="Q12" i="18"/>
  <c r="N18" i="18"/>
  <c r="AB18" i="18" s="1"/>
  <c r="N20" i="18"/>
  <c r="AB20" i="18" s="1"/>
  <c r="N21" i="18"/>
  <c r="AB21" i="18" s="1"/>
  <c r="N22" i="18"/>
  <c r="AB22" i="18" s="1"/>
  <c r="N25" i="18"/>
  <c r="AB25" i="18" s="1"/>
  <c r="N26" i="18"/>
  <c r="AB26" i="18" s="1"/>
  <c r="N40" i="18"/>
  <c r="N42" i="18"/>
  <c r="AB42" i="18" s="1"/>
  <c r="N45" i="18"/>
  <c r="AB45" i="18" s="1"/>
  <c r="N49" i="18"/>
  <c r="AB49" i="18" s="1"/>
  <c r="N56" i="18"/>
  <c r="AB56" i="18" s="1"/>
  <c r="N80" i="18"/>
  <c r="N43" i="18"/>
  <c r="AB43" i="18" s="1"/>
  <c r="AE13" i="18" l="1"/>
  <c r="N13" i="18"/>
  <c r="N91" i="18"/>
  <c r="AE91" i="18"/>
  <c r="D11" i="18"/>
  <c r="AC11" i="18" s="1"/>
  <c r="AC12" i="18"/>
  <c r="AB40" i="18"/>
  <c r="Q11" i="18"/>
  <c r="K12" i="18"/>
  <c r="C12" i="18" s="1"/>
  <c r="X12" i="18"/>
  <c r="X11" i="18" s="1"/>
  <c r="U12" i="18"/>
  <c r="P12" i="18"/>
  <c r="U11" i="18" l="1"/>
  <c r="AE12" i="18"/>
  <c r="K11" i="18"/>
  <c r="C11" i="18" s="1"/>
  <c r="AB13" i="18"/>
  <c r="AD12" i="18"/>
  <c r="P11" i="18"/>
  <c r="N12" i="18"/>
  <c r="N11" i="18" s="1"/>
  <c r="AE11" i="18" l="1"/>
  <c r="AD11" i="18"/>
  <c r="AB12" i="18"/>
  <c r="AB11" i="18" l="1"/>
  <c r="F24" i="13"/>
  <c r="D301" i="13"/>
  <c r="D274" i="13"/>
  <c r="U275" i="13"/>
  <c r="H292" i="13"/>
  <c r="Y300" i="13"/>
  <c r="F17" i="13" l="1"/>
  <c r="F21" i="13"/>
  <c r="F29" i="7" l="1"/>
  <c r="C12" i="7" l="1"/>
  <c r="C11" i="7" s="1"/>
  <c r="C9" i="7" s="1"/>
  <c r="F13" i="7"/>
  <c r="E13" i="7"/>
  <c r="F12" i="7" l="1"/>
  <c r="E12" i="7"/>
  <c r="AZ366" i="13"/>
  <c r="AX366" i="13"/>
  <c r="AS366" i="13"/>
  <c r="AF366" i="13"/>
  <c r="AD365" i="13"/>
  <c r="AD364" i="13"/>
  <c r="AD363" i="13"/>
  <c r="AZ362" i="13"/>
  <c r="AF362" i="13"/>
  <c r="AZ361" i="13"/>
  <c r="AF361" i="13"/>
  <c r="AZ360" i="13"/>
  <c r="AF360" i="13"/>
  <c r="AZ359" i="13"/>
  <c r="AF359" i="13"/>
  <c r="AZ358" i="13"/>
  <c r="AF358" i="13"/>
  <c r="AZ357" i="13"/>
  <c r="AF357" i="13"/>
  <c r="AZ356" i="13"/>
  <c r="AF356" i="13"/>
  <c r="AD355" i="13"/>
  <c r="AD354" i="13"/>
  <c r="AZ353" i="13"/>
  <c r="AF353" i="13"/>
  <c r="AZ352" i="13"/>
  <c r="AF352" i="13"/>
  <c r="AZ351" i="13"/>
  <c r="AF351" i="13"/>
  <c r="AZ350" i="13"/>
  <c r="AF350" i="13"/>
  <c r="AZ349" i="13"/>
  <c r="AF349" i="13"/>
  <c r="AZ348" i="13"/>
  <c r="AF348" i="13"/>
  <c r="AD347" i="13"/>
  <c r="AZ346" i="13"/>
  <c r="AF346" i="13"/>
  <c r="AZ345" i="13"/>
  <c r="AF345" i="13"/>
  <c r="AD344" i="13"/>
  <c r="AD343" i="13"/>
  <c r="AZ342" i="13"/>
  <c r="AF342" i="13"/>
  <c r="AZ341" i="13"/>
  <c r="AF341" i="13"/>
  <c r="AZ340" i="13"/>
  <c r="AF340" i="13"/>
  <c r="AZ339" i="13"/>
  <c r="AF339" i="13"/>
  <c r="AZ338" i="13"/>
  <c r="AF338" i="13"/>
  <c r="AZ337" i="13"/>
  <c r="AF337" i="13"/>
  <c r="AZ336" i="13"/>
  <c r="AF336" i="13"/>
  <c r="AZ335" i="13"/>
  <c r="AF335" i="13"/>
  <c r="AZ334" i="13"/>
  <c r="AF334" i="13"/>
  <c r="AZ333" i="13"/>
  <c r="AF333" i="13"/>
  <c r="AZ332" i="13"/>
  <c r="AF332" i="13"/>
  <c r="AZ331" i="13"/>
  <c r="AF331" i="13"/>
  <c r="AZ330" i="13"/>
  <c r="AF330" i="13"/>
  <c r="AZ329" i="13"/>
  <c r="AF329" i="13"/>
  <c r="AZ328" i="13"/>
  <c r="AF328" i="13"/>
  <c r="AZ327" i="13"/>
  <c r="AF327" i="13"/>
  <c r="AZ326" i="13"/>
  <c r="AF326" i="13"/>
  <c r="AZ325" i="13"/>
  <c r="AF325" i="13"/>
  <c r="AZ324" i="13"/>
  <c r="AF324" i="13"/>
  <c r="BB323" i="13"/>
  <c r="BA323" i="13"/>
  <c r="AY323" i="13"/>
  <c r="AX323" i="13"/>
  <c r="AW323" i="13"/>
  <c r="AV323" i="13"/>
  <c r="AU323" i="13"/>
  <c r="AT323" i="13"/>
  <c r="AS323" i="13"/>
  <c r="AR323" i="13"/>
  <c r="AQ323" i="13"/>
  <c r="AP323" i="13"/>
  <c r="AO323" i="13"/>
  <c r="AN323" i="13"/>
  <c r="AM323" i="13"/>
  <c r="AL323" i="13"/>
  <c r="AK323" i="13"/>
  <c r="AJ323" i="13"/>
  <c r="AI323" i="13"/>
  <c r="AH323" i="13"/>
  <c r="AG323" i="13"/>
  <c r="AE323" i="13"/>
  <c r="AD322" i="13"/>
  <c r="AZ321" i="13"/>
  <c r="AX321" i="13"/>
  <c r="AS321" i="13"/>
  <c r="AF321" i="13"/>
  <c r="AU2" i="13"/>
  <c r="AV1" i="13"/>
  <c r="AV2" i="13" s="1"/>
  <c r="AA308" i="13"/>
  <c r="E308" i="13" s="1"/>
  <c r="AA309" i="13"/>
  <c r="E309" i="13" s="1"/>
  <c r="F310" i="13"/>
  <c r="G310" i="13"/>
  <c r="H310" i="13"/>
  <c r="I310" i="13"/>
  <c r="J310" i="13"/>
  <c r="K310" i="13"/>
  <c r="L310" i="13"/>
  <c r="M310" i="13"/>
  <c r="N310" i="13"/>
  <c r="O310" i="13"/>
  <c r="P310" i="13"/>
  <c r="Q310" i="13"/>
  <c r="R310" i="13"/>
  <c r="S310" i="13"/>
  <c r="T310" i="13"/>
  <c r="U310" i="13"/>
  <c r="V310" i="13"/>
  <c r="W310" i="13"/>
  <c r="X310" i="13"/>
  <c r="Y310" i="13"/>
  <c r="Z310" i="13"/>
  <c r="AB310" i="13"/>
  <c r="AC310" i="13"/>
  <c r="AA311" i="13"/>
  <c r="E311" i="13" s="1"/>
  <c r="AA312" i="13"/>
  <c r="E312" i="13" s="1"/>
  <c r="AA313" i="13"/>
  <c r="E313" i="13" s="1"/>
  <c r="AA314" i="13"/>
  <c r="E314" i="13" s="1"/>
  <c r="AA315" i="13"/>
  <c r="E315" i="13" s="1"/>
  <c r="AA316" i="13"/>
  <c r="E316" i="13" s="1"/>
  <c r="AA317" i="13"/>
  <c r="E317" i="13" s="1"/>
  <c r="AA318" i="13"/>
  <c r="E318" i="13" s="1"/>
  <c r="AA319" i="13"/>
  <c r="E319" i="13" s="1"/>
  <c r="AA320" i="13"/>
  <c r="E320" i="13" s="1"/>
  <c r="G321" i="13"/>
  <c r="T321" i="13"/>
  <c r="Y321" i="13"/>
  <c r="AA321" i="13"/>
  <c r="E322" i="13"/>
  <c r="F323" i="13"/>
  <c r="H323" i="13"/>
  <c r="I323" i="13"/>
  <c r="J323" i="13"/>
  <c r="K323" i="13"/>
  <c r="L323" i="13"/>
  <c r="M323" i="13"/>
  <c r="N323" i="13"/>
  <c r="O323" i="13"/>
  <c r="P323" i="13"/>
  <c r="Q323" i="13"/>
  <c r="R323" i="13"/>
  <c r="S323" i="13"/>
  <c r="T323" i="13"/>
  <c r="U323" i="13"/>
  <c r="V323" i="13"/>
  <c r="W323" i="13"/>
  <c r="X323" i="13"/>
  <c r="Y323" i="13"/>
  <c r="Z323" i="13"/>
  <c r="AB323" i="13"/>
  <c r="AC323" i="13"/>
  <c r="G324" i="13"/>
  <c r="AA324" i="13"/>
  <c r="G325" i="13"/>
  <c r="AA325" i="13"/>
  <c r="G326" i="13"/>
  <c r="AA326" i="13"/>
  <c r="G327" i="13"/>
  <c r="AA327" i="13"/>
  <c r="G328" i="13"/>
  <c r="AA328" i="13"/>
  <c r="G329" i="13"/>
  <c r="AA329" i="13"/>
  <c r="G330" i="13"/>
  <c r="AA330" i="13"/>
  <c r="G331" i="13"/>
  <c r="AA331" i="13"/>
  <c r="G332" i="13"/>
  <c r="AA332" i="13"/>
  <c r="G333" i="13"/>
  <c r="AA333" i="13"/>
  <c r="G334" i="13"/>
  <c r="AA334" i="13"/>
  <c r="G335" i="13"/>
  <c r="AA335" i="13"/>
  <c r="G336" i="13"/>
  <c r="AA336" i="13"/>
  <c r="G337" i="13"/>
  <c r="AA337" i="13"/>
  <c r="G338" i="13"/>
  <c r="AA338" i="13"/>
  <c r="G339" i="13"/>
  <c r="AA339" i="13"/>
  <c r="G340" i="13"/>
  <c r="AA340" i="13"/>
  <c r="G341" i="13"/>
  <c r="AA341" i="13"/>
  <c r="G342" i="13"/>
  <c r="AA342" i="13"/>
  <c r="E343" i="13"/>
  <c r="E344" i="13"/>
  <c r="G345" i="13"/>
  <c r="AA345" i="13"/>
  <c r="G346" i="13"/>
  <c r="AA346" i="13"/>
  <c r="E347" i="13"/>
  <c r="G348" i="13"/>
  <c r="AA348" i="13"/>
  <c r="G349" i="13"/>
  <c r="AA349" i="13"/>
  <c r="G350" i="13"/>
  <c r="AA350" i="13"/>
  <c r="G351" i="13"/>
  <c r="AA351" i="13"/>
  <c r="G352" i="13"/>
  <c r="AA352" i="13"/>
  <c r="G353" i="13"/>
  <c r="AA353" i="13"/>
  <c r="E354" i="13"/>
  <c r="E355" i="13"/>
  <c r="G356" i="13"/>
  <c r="AA356" i="13"/>
  <c r="G357" i="13"/>
  <c r="AA357" i="13"/>
  <c r="G358" i="13"/>
  <c r="AA358" i="13"/>
  <c r="G359" i="13"/>
  <c r="AA359" i="13"/>
  <c r="G360" i="13"/>
  <c r="AA360" i="13"/>
  <c r="G361" i="13"/>
  <c r="AA361" i="13"/>
  <c r="G362" i="13"/>
  <c r="AA362" i="13"/>
  <c r="E363" i="13"/>
  <c r="E364" i="13"/>
  <c r="E365" i="13"/>
  <c r="G366" i="13"/>
  <c r="T366" i="13"/>
  <c r="Y366" i="13"/>
  <c r="AA366" i="13"/>
  <c r="E162" i="13"/>
  <c r="E164" i="13"/>
  <c r="E165" i="13"/>
  <c r="E166" i="13"/>
  <c r="E289" i="13"/>
  <c r="E290" i="13"/>
  <c r="E296" i="13"/>
  <c r="F11" i="7" l="1"/>
  <c r="E11" i="7"/>
  <c r="E9" i="7" s="1"/>
  <c r="AD341" i="13"/>
  <c r="AD346" i="13"/>
  <c r="AD327" i="13"/>
  <c r="AD328" i="13"/>
  <c r="AD329" i="13"/>
  <c r="AD332" i="13"/>
  <c r="AD335" i="13"/>
  <c r="AD337" i="13"/>
  <c r="AD339" i="13"/>
  <c r="AD340" i="13"/>
  <c r="AD349" i="13"/>
  <c r="AD350" i="13"/>
  <c r="AD351" i="13"/>
  <c r="AD356" i="13"/>
  <c r="AD357" i="13"/>
  <c r="AD359" i="13"/>
  <c r="AD360" i="13"/>
  <c r="E366" i="13"/>
  <c r="E352" i="13"/>
  <c r="E350" i="13"/>
  <c r="E348" i="13"/>
  <c r="E341" i="13"/>
  <c r="E339" i="13"/>
  <c r="E337" i="13"/>
  <c r="E335" i="13"/>
  <c r="E333" i="13"/>
  <c r="E331" i="13"/>
  <c r="E329" i="13"/>
  <c r="E327" i="13"/>
  <c r="AD325" i="13"/>
  <c r="AD333" i="13"/>
  <c r="AD361" i="13"/>
  <c r="E362" i="13"/>
  <c r="E360" i="13"/>
  <c r="E358" i="13"/>
  <c r="E356" i="13"/>
  <c r="E345" i="13"/>
  <c r="AD324" i="13"/>
  <c r="AD331" i="13"/>
  <c r="E325" i="13"/>
  <c r="AD336" i="13"/>
  <c r="AZ323" i="13"/>
  <c r="AD366" i="13"/>
  <c r="AD321" i="13"/>
  <c r="AD345" i="13"/>
  <c r="AD353" i="13"/>
  <c r="E361" i="13"/>
  <c r="E359" i="13"/>
  <c r="E357" i="13"/>
  <c r="E353" i="13"/>
  <c r="E351" i="13"/>
  <c r="E349" i="13"/>
  <c r="E346" i="13"/>
  <c r="E342" i="13"/>
  <c r="E340" i="13"/>
  <c r="E338" i="13"/>
  <c r="E336" i="13"/>
  <c r="E334" i="13"/>
  <c r="E332" i="13"/>
  <c r="E330" i="13"/>
  <c r="E328" i="13"/>
  <c r="E326" i="13"/>
  <c r="AA323" i="13"/>
  <c r="E321" i="13"/>
  <c r="AF323" i="13"/>
  <c r="AD326" i="13"/>
  <c r="AD330" i="13"/>
  <c r="AD334" i="13"/>
  <c r="AD338" i="13"/>
  <c r="AD342" i="13"/>
  <c r="AD348" i="13"/>
  <c r="AD352" i="13"/>
  <c r="AD358" i="13"/>
  <c r="AD362" i="13"/>
  <c r="G323" i="13"/>
  <c r="E324" i="13"/>
  <c r="AA310" i="13"/>
  <c r="E310" i="13" s="1"/>
  <c r="E323" i="13" l="1"/>
  <c r="AD323" i="13"/>
  <c r="F9" i="7"/>
  <c r="Y16" i="13"/>
  <c r="Y15" i="13" s="1"/>
  <c r="Y99" i="13"/>
  <c r="Y100" i="13"/>
  <c r="Y101" i="13"/>
  <c r="Y102" i="13"/>
  <c r="Y104" i="13"/>
  <c r="Y105" i="13"/>
  <c r="Y107" i="13"/>
  <c r="Y108" i="13"/>
  <c r="Y110" i="13"/>
  <c r="Y111" i="13"/>
  <c r="Y112" i="13"/>
  <c r="Y114" i="13"/>
  <c r="Y115" i="13"/>
  <c r="Y118" i="13"/>
  <c r="Y119" i="13"/>
  <c r="Y120" i="13"/>
  <c r="Y121" i="13"/>
  <c r="Y122" i="13"/>
  <c r="Y124" i="13"/>
  <c r="Y125" i="13"/>
  <c r="Y126" i="13"/>
  <c r="Y127" i="13"/>
  <c r="Y128" i="13"/>
  <c r="Y130" i="13"/>
  <c r="Y131" i="13"/>
  <c r="Y132" i="13"/>
  <c r="Y134" i="13"/>
  <c r="Y135" i="13"/>
  <c r="Y136" i="13"/>
  <c r="Y138" i="13"/>
  <c r="Y139" i="13"/>
  <c r="Y141" i="13"/>
  <c r="Y142" i="13"/>
  <c r="Y143" i="13"/>
  <c r="Y145" i="13"/>
  <c r="Y146" i="13"/>
  <c r="Y147" i="13"/>
  <c r="Y148" i="13"/>
  <c r="Y149" i="13"/>
  <c r="Y150" i="13"/>
  <c r="Y152" i="13"/>
  <c r="Y153" i="13"/>
  <c r="Y155" i="13"/>
  <c r="Y156" i="13"/>
  <c r="Y157" i="13"/>
  <c r="Y158" i="13"/>
  <c r="Y159" i="13"/>
  <c r="Y160" i="13"/>
  <c r="Y161" i="13"/>
  <c r="Y163" i="13"/>
  <c r="Y167" i="13"/>
  <c r="Y168" i="13"/>
  <c r="Y169" i="13"/>
  <c r="Y170" i="13"/>
  <c r="Y171" i="13"/>
  <c r="Y172" i="13"/>
  <c r="Y173" i="13"/>
  <c r="Y174" i="13"/>
  <c r="Y175" i="13"/>
  <c r="Y176" i="13"/>
  <c r="Y177" i="13"/>
  <c r="Y178" i="13"/>
  <c r="Y179" i="13"/>
  <c r="Y180" i="13"/>
  <c r="Y182" i="13"/>
  <c r="Y183" i="13"/>
  <c r="Y184" i="13"/>
  <c r="Y185" i="13"/>
  <c r="Y186" i="13"/>
  <c r="Y187" i="13"/>
  <c r="Y188" i="13"/>
  <c r="Y189" i="13"/>
  <c r="Y190" i="13"/>
  <c r="Y191" i="13"/>
  <c r="Y192" i="13"/>
  <c r="Y193" i="13"/>
  <c r="Y194" i="13"/>
  <c r="Y195" i="13"/>
  <c r="Y196" i="13"/>
  <c r="Y197" i="13"/>
  <c r="Y199" i="13"/>
  <c r="Y200" i="13"/>
  <c r="Y202" i="13"/>
  <c r="Y201" i="13" s="1"/>
  <c r="Y204" i="13"/>
  <c r="Y203" i="13" s="1"/>
  <c r="Y206" i="13"/>
  <c r="Y205" i="13" s="1"/>
  <c r="Y207" i="13"/>
  <c r="Y208" i="13"/>
  <c r="Y209" i="13"/>
  <c r="Y210" i="13"/>
  <c r="Y211" i="13"/>
  <c r="Y212" i="13"/>
  <c r="Y213" i="13"/>
  <c r="Y214" i="13"/>
  <c r="Y215" i="13"/>
  <c r="Y216" i="13"/>
  <c r="Y217" i="13"/>
  <c r="Y218" i="13"/>
  <c r="Y219" i="13"/>
  <c r="Y220" i="13"/>
  <c r="Y221" i="13"/>
  <c r="Y223" i="13"/>
  <c r="Y224" i="13"/>
  <c r="Y226" i="13"/>
  <c r="Y227" i="13"/>
  <c r="Y228" i="13"/>
  <c r="Y229" i="13"/>
  <c r="Y230" i="13"/>
  <c r="Y231" i="13"/>
  <c r="Y232" i="13"/>
  <c r="Y233" i="13"/>
  <c r="Y234" i="13"/>
  <c r="Y235" i="13"/>
  <c r="Y236" i="13"/>
  <c r="Y237" i="13"/>
  <c r="Y238" i="13"/>
  <c r="Y239" i="13"/>
  <c r="Y240" i="13"/>
  <c r="Y241" i="13"/>
  <c r="Y242" i="13"/>
  <c r="Y243" i="13"/>
  <c r="Y244" i="13"/>
  <c r="Y245" i="13"/>
  <c r="Y246" i="13"/>
  <c r="Y247" i="13"/>
  <c r="Y248" i="13"/>
  <c r="Y249" i="13"/>
  <c r="Y250" i="13"/>
  <c r="Y251" i="13"/>
  <c r="Y252" i="13"/>
  <c r="Y253" i="13"/>
  <c r="Y254" i="13"/>
  <c r="Y255" i="13"/>
  <c r="Y256" i="13"/>
  <c r="Y257" i="13"/>
  <c r="Y258" i="13"/>
  <c r="Y259" i="13"/>
  <c r="Y260" i="13"/>
  <c r="Y261" i="13"/>
  <c r="Y262" i="13"/>
  <c r="Y263" i="13"/>
  <c r="Y264" i="13"/>
  <c r="Y265" i="13"/>
  <c r="Y266" i="13"/>
  <c r="Y267" i="13"/>
  <c r="Y268" i="13"/>
  <c r="Y269" i="13"/>
  <c r="Y270" i="13"/>
  <c r="Y271" i="13"/>
  <c r="Y272" i="13"/>
  <c r="Y273" i="13"/>
  <c r="Y275" i="13"/>
  <c r="Y276" i="13"/>
  <c r="Y277" i="13"/>
  <c r="Y278" i="13"/>
  <c r="Y279" i="13"/>
  <c r="Y280" i="13"/>
  <c r="Y281" i="13"/>
  <c r="Y282" i="13"/>
  <c r="Y283" i="13"/>
  <c r="Y284" i="13"/>
  <c r="Y285" i="13"/>
  <c r="Y286" i="13"/>
  <c r="Y287" i="13"/>
  <c r="Y288" i="13"/>
  <c r="Y292" i="13"/>
  <c r="Y293" i="13"/>
  <c r="Y294" i="13"/>
  <c r="Y295" i="13"/>
  <c r="Y298" i="13"/>
  <c r="Y299" i="13"/>
  <c r="Y302" i="13"/>
  <c r="AC302" i="13"/>
  <c r="AC301" i="13" s="1"/>
  <c r="AA307" i="13"/>
  <c r="E307" i="13" s="1"/>
  <c r="AA306" i="13"/>
  <c r="E306" i="13" s="1"/>
  <c r="AA305" i="13"/>
  <c r="E305" i="13" s="1"/>
  <c r="AA304" i="13"/>
  <c r="E304" i="13" s="1"/>
  <c r="AB303" i="13"/>
  <c r="AA303" i="13" s="1"/>
  <c r="F303" i="13"/>
  <c r="F302" i="13" s="1"/>
  <c r="F301" i="13" s="1"/>
  <c r="Z302" i="13"/>
  <c r="Z301" i="13" s="1"/>
  <c r="X302" i="13"/>
  <c r="X301" i="13" s="1"/>
  <c r="W302" i="13"/>
  <c r="W301" i="13" s="1"/>
  <c r="V302" i="13"/>
  <c r="V301" i="13" s="1"/>
  <c r="U302" i="13"/>
  <c r="U301" i="13" s="1"/>
  <c r="T302" i="13"/>
  <c r="T301" i="13" s="1"/>
  <c r="S302" i="13"/>
  <c r="S301" i="13" s="1"/>
  <c r="R302" i="13"/>
  <c r="R301" i="13" s="1"/>
  <c r="Q302" i="13"/>
  <c r="Q301" i="13" s="1"/>
  <c r="P302" i="13"/>
  <c r="P301" i="13" s="1"/>
  <c r="O302" i="13"/>
  <c r="O301" i="13" s="1"/>
  <c r="N302" i="13"/>
  <c r="N301" i="13" s="1"/>
  <c r="M302" i="13"/>
  <c r="M301" i="13" s="1"/>
  <c r="L302" i="13"/>
  <c r="L301" i="13" s="1"/>
  <c r="K302" i="13"/>
  <c r="K301" i="13" s="1"/>
  <c r="J302" i="13"/>
  <c r="J301" i="13" s="1"/>
  <c r="I302" i="13"/>
  <c r="I301" i="13" s="1"/>
  <c r="H302" i="13"/>
  <c r="H301" i="13" s="1"/>
  <c r="G302" i="13"/>
  <c r="AA300" i="13"/>
  <c r="X300" i="13"/>
  <c r="W300" i="13"/>
  <c r="V300" i="13"/>
  <c r="U300" i="13"/>
  <c r="Q300" i="13"/>
  <c r="T300" i="13" s="1"/>
  <c r="P300" i="13"/>
  <c r="O300" i="13"/>
  <c r="N300" i="13"/>
  <c r="M300" i="13"/>
  <c r="L300" i="13"/>
  <c r="K300" i="13"/>
  <c r="J300" i="13"/>
  <c r="I300" i="13"/>
  <c r="H300" i="13"/>
  <c r="F300" i="13"/>
  <c r="AA299" i="13"/>
  <c r="X299" i="13"/>
  <c r="W299" i="13"/>
  <c r="V299" i="13"/>
  <c r="U299" i="13"/>
  <c r="Q299" i="13"/>
  <c r="T299" i="13" s="1"/>
  <c r="P299" i="13"/>
  <c r="O299" i="13"/>
  <c r="N299" i="13"/>
  <c r="M299" i="13"/>
  <c r="L299" i="13"/>
  <c r="K299" i="13"/>
  <c r="J299" i="13"/>
  <c r="I299" i="13"/>
  <c r="H299" i="13"/>
  <c r="F299" i="13"/>
  <c r="AA298" i="13"/>
  <c r="X298" i="13"/>
  <c r="W298" i="13"/>
  <c r="V298" i="13"/>
  <c r="U298" i="13"/>
  <c r="Q298" i="13"/>
  <c r="T298" i="13" s="1"/>
  <c r="P298" i="13"/>
  <c r="O298" i="13"/>
  <c r="N298" i="13"/>
  <c r="M298" i="13"/>
  <c r="L298" i="13"/>
  <c r="K298" i="13"/>
  <c r="J298" i="13"/>
  <c r="I298" i="13"/>
  <c r="H298" i="13"/>
  <c r="F298" i="13"/>
  <c r="AA297" i="13"/>
  <c r="X297" i="13"/>
  <c r="W297" i="13"/>
  <c r="V297" i="13"/>
  <c r="U297" i="13"/>
  <c r="Q297" i="13"/>
  <c r="T297" i="13" s="1"/>
  <c r="P297" i="13"/>
  <c r="O297" i="13"/>
  <c r="N297" i="13"/>
  <c r="M297" i="13"/>
  <c r="L297" i="13"/>
  <c r="K297" i="13"/>
  <c r="J297" i="13"/>
  <c r="I297" i="13"/>
  <c r="H297" i="13"/>
  <c r="F297" i="13"/>
  <c r="X295" i="13"/>
  <c r="W295" i="13"/>
  <c r="V295" i="13"/>
  <c r="Q295" i="13"/>
  <c r="T295" i="13" s="1"/>
  <c r="P295" i="13"/>
  <c r="O295" i="13"/>
  <c r="N295" i="13"/>
  <c r="M295" i="13"/>
  <c r="L295" i="13"/>
  <c r="K295" i="13"/>
  <c r="J295" i="13"/>
  <c r="I295" i="13"/>
  <c r="H295" i="13"/>
  <c r="F295" i="13"/>
  <c r="X294" i="13"/>
  <c r="W294" i="13"/>
  <c r="V294" i="13"/>
  <c r="U294" i="13"/>
  <c r="Q294" i="13"/>
  <c r="T294" i="13" s="1"/>
  <c r="P294" i="13"/>
  <c r="O294" i="13"/>
  <c r="N294" i="13"/>
  <c r="M294" i="13"/>
  <c r="L294" i="13"/>
  <c r="K294" i="13"/>
  <c r="J294" i="13"/>
  <c r="I294" i="13"/>
  <c r="H294" i="13"/>
  <c r="F294" i="13"/>
  <c r="X293" i="13"/>
  <c r="W293" i="13"/>
  <c r="V293" i="13"/>
  <c r="U293" i="13"/>
  <c r="Q293" i="13"/>
  <c r="T293" i="13" s="1"/>
  <c r="P293" i="13"/>
  <c r="O293" i="13"/>
  <c r="N293" i="13"/>
  <c r="M293" i="13"/>
  <c r="L293" i="13"/>
  <c r="K293" i="13"/>
  <c r="J293" i="13"/>
  <c r="I293" i="13"/>
  <c r="H293" i="13"/>
  <c r="F293" i="13"/>
  <c r="X292" i="13"/>
  <c r="W292" i="13"/>
  <c r="V292" i="13"/>
  <c r="U292" i="13"/>
  <c r="Q292" i="13"/>
  <c r="T292" i="13" s="1"/>
  <c r="P292" i="13"/>
  <c r="O292" i="13"/>
  <c r="N292" i="13"/>
  <c r="M292" i="13"/>
  <c r="L292" i="13"/>
  <c r="K292" i="13"/>
  <c r="J292" i="13"/>
  <c r="I292" i="13"/>
  <c r="F292" i="13"/>
  <c r="D295" i="13"/>
  <c r="U295" i="13" s="1"/>
  <c r="AA291" i="13"/>
  <c r="S291" i="13"/>
  <c r="R291" i="13"/>
  <c r="F291" i="13"/>
  <c r="AA288" i="13"/>
  <c r="X288" i="13"/>
  <c r="W288" i="13"/>
  <c r="V288" i="13"/>
  <c r="U288" i="13"/>
  <c r="Q288" i="13"/>
  <c r="T288" i="13" s="1"/>
  <c r="P288" i="13"/>
  <c r="O288" i="13"/>
  <c r="N288" i="13"/>
  <c r="M288" i="13"/>
  <c r="L288" i="13"/>
  <c r="K288" i="13"/>
  <c r="J288" i="13"/>
  <c r="I288" i="13"/>
  <c r="H288" i="13"/>
  <c r="F288" i="13"/>
  <c r="AA287" i="13"/>
  <c r="X287" i="13"/>
  <c r="W287" i="13"/>
  <c r="V287" i="13"/>
  <c r="U287" i="13"/>
  <c r="Q287" i="13"/>
  <c r="T287" i="13" s="1"/>
  <c r="P287" i="13"/>
  <c r="O287" i="13"/>
  <c r="N287" i="13"/>
  <c r="M287" i="13"/>
  <c r="L287" i="13"/>
  <c r="K287" i="13"/>
  <c r="J287" i="13"/>
  <c r="I287" i="13"/>
  <c r="H287" i="13"/>
  <c r="F287" i="13"/>
  <c r="X286" i="13"/>
  <c r="W286" i="13"/>
  <c r="V286" i="13"/>
  <c r="U286" i="13"/>
  <c r="Q286" i="13"/>
  <c r="T286" i="13" s="1"/>
  <c r="P286" i="13"/>
  <c r="O286" i="13"/>
  <c r="N286" i="13"/>
  <c r="M286" i="13"/>
  <c r="L286" i="13"/>
  <c r="K286" i="13"/>
  <c r="J286" i="13"/>
  <c r="I286" i="13"/>
  <c r="H286" i="13"/>
  <c r="F286" i="13"/>
  <c r="X285" i="13"/>
  <c r="W285" i="13"/>
  <c r="V285" i="13"/>
  <c r="U285" i="13"/>
  <c r="Q285" i="13"/>
  <c r="T285" i="13" s="1"/>
  <c r="P285" i="13"/>
  <c r="O285" i="13"/>
  <c r="N285" i="13"/>
  <c r="M285" i="13"/>
  <c r="L285" i="13"/>
  <c r="K285" i="13"/>
  <c r="J285" i="13"/>
  <c r="I285" i="13"/>
  <c r="H285" i="13"/>
  <c r="F285" i="13"/>
  <c r="X284" i="13"/>
  <c r="W284" i="13"/>
  <c r="V284" i="13"/>
  <c r="U284" i="13"/>
  <c r="Q284" i="13"/>
  <c r="T284" i="13" s="1"/>
  <c r="P284" i="13"/>
  <c r="O284" i="13"/>
  <c r="N284" i="13"/>
  <c r="M284" i="13"/>
  <c r="L284" i="13"/>
  <c r="K284" i="13"/>
  <c r="J284" i="13"/>
  <c r="I284" i="13"/>
  <c r="H284" i="13"/>
  <c r="F284" i="13"/>
  <c r="X283" i="13"/>
  <c r="W283" i="13"/>
  <c r="V283" i="13"/>
  <c r="U283" i="13"/>
  <c r="Q283" i="13"/>
  <c r="T283" i="13" s="1"/>
  <c r="P283" i="13"/>
  <c r="O283" i="13"/>
  <c r="N283" i="13"/>
  <c r="M283" i="13"/>
  <c r="L283" i="13"/>
  <c r="K283" i="13"/>
  <c r="J283" i="13"/>
  <c r="I283" i="13"/>
  <c r="H283" i="13"/>
  <c r="F283" i="13"/>
  <c r="AA282" i="13"/>
  <c r="X282" i="13"/>
  <c r="W282" i="13"/>
  <c r="V282" i="13"/>
  <c r="U282" i="13"/>
  <c r="Q282" i="13"/>
  <c r="T282" i="13" s="1"/>
  <c r="P282" i="13"/>
  <c r="O282" i="13"/>
  <c r="N282" i="13"/>
  <c r="M282" i="13"/>
  <c r="L282" i="13"/>
  <c r="K282" i="13"/>
  <c r="J282" i="13"/>
  <c r="I282" i="13"/>
  <c r="H282" i="13"/>
  <c r="F282" i="13"/>
  <c r="AA281" i="13"/>
  <c r="X281" i="13"/>
  <c r="W281" i="13"/>
  <c r="V281" i="13"/>
  <c r="U281" i="13"/>
  <c r="Q281" i="13"/>
  <c r="T281" i="13" s="1"/>
  <c r="P281" i="13"/>
  <c r="O281" i="13"/>
  <c r="N281" i="13"/>
  <c r="M281" i="13"/>
  <c r="L281" i="13"/>
  <c r="K281" i="13"/>
  <c r="J281" i="13"/>
  <c r="I281" i="13"/>
  <c r="H281" i="13"/>
  <c r="F281" i="13"/>
  <c r="AA280" i="13"/>
  <c r="X280" i="13"/>
  <c r="W280" i="13"/>
  <c r="V280" i="13"/>
  <c r="U280" i="13"/>
  <c r="Q280" i="13"/>
  <c r="T280" i="13" s="1"/>
  <c r="P280" i="13"/>
  <c r="O280" i="13"/>
  <c r="N280" i="13"/>
  <c r="M280" i="13"/>
  <c r="L280" i="13"/>
  <c r="K280" i="13"/>
  <c r="J280" i="13"/>
  <c r="I280" i="13"/>
  <c r="H280" i="13"/>
  <c r="F280" i="13"/>
  <c r="AA279" i="13"/>
  <c r="X279" i="13"/>
  <c r="W279" i="13"/>
  <c r="V279" i="13"/>
  <c r="U279" i="13"/>
  <c r="Q279" i="13"/>
  <c r="T279" i="13" s="1"/>
  <c r="P279" i="13"/>
  <c r="O279" i="13"/>
  <c r="N279" i="13"/>
  <c r="M279" i="13"/>
  <c r="L279" i="13"/>
  <c r="K279" i="13"/>
  <c r="J279" i="13"/>
  <c r="I279" i="13"/>
  <c r="H279" i="13"/>
  <c r="F279" i="13"/>
  <c r="AA278" i="13"/>
  <c r="X278" i="13"/>
  <c r="W278" i="13"/>
  <c r="V278" i="13"/>
  <c r="U278" i="13"/>
  <c r="Q278" i="13"/>
  <c r="T278" i="13" s="1"/>
  <c r="P278" i="13"/>
  <c r="O278" i="13"/>
  <c r="N278" i="13"/>
  <c r="M278" i="13"/>
  <c r="L278" i="13"/>
  <c r="K278" i="13"/>
  <c r="J278" i="13"/>
  <c r="I278" i="13"/>
  <c r="H278" i="13"/>
  <c r="F278" i="13"/>
  <c r="AA277" i="13"/>
  <c r="X277" i="13"/>
  <c r="W277" i="13"/>
  <c r="V277" i="13"/>
  <c r="U277" i="13"/>
  <c r="Q277" i="13"/>
  <c r="T277" i="13" s="1"/>
  <c r="P277" i="13"/>
  <c r="O277" i="13"/>
  <c r="N277" i="13"/>
  <c r="M277" i="13"/>
  <c r="L277" i="13"/>
  <c r="K277" i="13"/>
  <c r="J277" i="13"/>
  <c r="I277" i="13"/>
  <c r="H277" i="13"/>
  <c r="F277" i="13"/>
  <c r="X276" i="13"/>
  <c r="W276" i="13"/>
  <c r="V276" i="13"/>
  <c r="U276" i="13"/>
  <c r="Q276" i="13"/>
  <c r="T276" i="13" s="1"/>
  <c r="P276" i="13"/>
  <c r="O276" i="13"/>
  <c r="N276" i="13"/>
  <c r="M276" i="13"/>
  <c r="L276" i="13"/>
  <c r="K276" i="13"/>
  <c r="J276" i="13"/>
  <c r="I276" i="13"/>
  <c r="H276" i="13"/>
  <c r="F276" i="13"/>
  <c r="AA275" i="13"/>
  <c r="X275" i="13"/>
  <c r="W275" i="13"/>
  <c r="V275" i="13"/>
  <c r="Q275" i="13"/>
  <c r="T275" i="13" s="1"/>
  <c r="P275" i="13"/>
  <c r="O275" i="13"/>
  <c r="N275" i="13"/>
  <c r="M275" i="13"/>
  <c r="L275" i="13"/>
  <c r="K275" i="13"/>
  <c r="J275" i="13"/>
  <c r="I275" i="13"/>
  <c r="H275" i="13"/>
  <c r="F275" i="13"/>
  <c r="AA274" i="13"/>
  <c r="S274" i="13"/>
  <c r="R274" i="13"/>
  <c r="X273" i="13"/>
  <c r="W273" i="13"/>
  <c r="V273" i="13"/>
  <c r="U273" i="13"/>
  <c r="Q273" i="13"/>
  <c r="T273" i="13" s="1"/>
  <c r="P273" i="13"/>
  <c r="O273" i="13"/>
  <c r="N273" i="13"/>
  <c r="M273" i="13"/>
  <c r="L273" i="13"/>
  <c r="K273" i="13"/>
  <c r="J273" i="13"/>
  <c r="I273" i="13"/>
  <c r="H273" i="13"/>
  <c r="F273" i="13"/>
  <c r="AA272" i="13"/>
  <c r="X272" i="13"/>
  <c r="W272" i="13"/>
  <c r="V272" i="13"/>
  <c r="U272" i="13"/>
  <c r="Q272" i="13"/>
  <c r="T272" i="13" s="1"/>
  <c r="P272" i="13"/>
  <c r="O272" i="13"/>
  <c r="N272" i="13"/>
  <c r="M272" i="13"/>
  <c r="L272" i="13"/>
  <c r="K272" i="13"/>
  <c r="J272" i="13"/>
  <c r="I272" i="13"/>
  <c r="H272" i="13"/>
  <c r="F272" i="13"/>
  <c r="AA271" i="13"/>
  <c r="X271" i="13"/>
  <c r="W271" i="13"/>
  <c r="V271" i="13"/>
  <c r="U271" i="13"/>
  <c r="Q271" i="13"/>
  <c r="T271" i="13" s="1"/>
  <c r="P271" i="13"/>
  <c r="O271" i="13"/>
  <c r="N271" i="13"/>
  <c r="M271" i="13"/>
  <c r="L271" i="13"/>
  <c r="K271" i="13"/>
  <c r="J271" i="13"/>
  <c r="I271" i="13"/>
  <c r="H271" i="13"/>
  <c r="F271" i="13"/>
  <c r="AA270" i="13"/>
  <c r="X270" i="13"/>
  <c r="X269" i="13" s="1"/>
  <c r="W270" i="13"/>
  <c r="V270" i="13"/>
  <c r="V269" i="13" s="1"/>
  <c r="U270" i="13"/>
  <c r="Q270" i="13"/>
  <c r="T270" i="13" s="1"/>
  <c r="P270" i="13"/>
  <c r="P269" i="13" s="1"/>
  <c r="O270" i="13"/>
  <c r="O269" i="13" s="1"/>
  <c r="N270" i="13"/>
  <c r="N269" i="13" s="1"/>
  <c r="M270" i="13"/>
  <c r="M269" i="13" s="1"/>
  <c r="L270" i="13"/>
  <c r="L269" i="13" s="1"/>
  <c r="K270" i="13"/>
  <c r="K269" i="13" s="1"/>
  <c r="J270" i="13"/>
  <c r="J269" i="13" s="1"/>
  <c r="I270" i="13"/>
  <c r="I269" i="13" s="1"/>
  <c r="H270" i="13"/>
  <c r="F270" i="13"/>
  <c r="AA269" i="13"/>
  <c r="D269" i="13"/>
  <c r="AA268" i="13"/>
  <c r="X268" i="13"/>
  <c r="W268" i="13"/>
  <c r="V268" i="13"/>
  <c r="U268" i="13"/>
  <c r="Q268" i="13"/>
  <c r="T268" i="13" s="1"/>
  <c r="P268" i="13"/>
  <c r="O268" i="13"/>
  <c r="N268" i="13"/>
  <c r="M268" i="13"/>
  <c r="L268" i="13"/>
  <c r="K268" i="13"/>
  <c r="J268" i="13"/>
  <c r="I268" i="13"/>
  <c r="H268" i="13"/>
  <c r="F268" i="13"/>
  <c r="X267" i="13"/>
  <c r="W267" i="13"/>
  <c r="U267" i="13"/>
  <c r="Q267" i="13"/>
  <c r="T267" i="13" s="1"/>
  <c r="P267" i="13"/>
  <c r="O267" i="13"/>
  <c r="N267" i="13"/>
  <c r="M267" i="13"/>
  <c r="L267" i="13"/>
  <c r="K267" i="13"/>
  <c r="J267" i="13"/>
  <c r="I267" i="13"/>
  <c r="H267" i="13"/>
  <c r="F267" i="13"/>
  <c r="V267" i="13"/>
  <c r="X266" i="13"/>
  <c r="W266" i="13"/>
  <c r="V266" i="13"/>
  <c r="U266" i="13"/>
  <c r="Q266" i="13"/>
  <c r="T266" i="13" s="1"/>
  <c r="P266" i="13"/>
  <c r="O266" i="13"/>
  <c r="N266" i="13"/>
  <c r="M266" i="13"/>
  <c r="L266" i="13"/>
  <c r="K266" i="13"/>
  <c r="J266" i="13"/>
  <c r="I266" i="13"/>
  <c r="H266" i="13"/>
  <c r="F266" i="13"/>
  <c r="X265" i="13"/>
  <c r="W265" i="13"/>
  <c r="V265" i="13"/>
  <c r="U265" i="13"/>
  <c r="Q265" i="13"/>
  <c r="T265" i="13" s="1"/>
  <c r="P265" i="13"/>
  <c r="O265" i="13"/>
  <c r="N265" i="13"/>
  <c r="M265" i="13"/>
  <c r="L265" i="13"/>
  <c r="K265" i="13"/>
  <c r="J265" i="13"/>
  <c r="I265" i="13"/>
  <c r="H265" i="13"/>
  <c r="F265" i="13"/>
  <c r="X264" i="13"/>
  <c r="W264" i="13"/>
  <c r="V264" i="13"/>
  <c r="U264" i="13"/>
  <c r="Q264" i="13"/>
  <c r="T264" i="13" s="1"/>
  <c r="P264" i="13"/>
  <c r="O264" i="13"/>
  <c r="N264" i="13"/>
  <c r="M264" i="13"/>
  <c r="L264" i="13"/>
  <c r="K264" i="13"/>
  <c r="J264" i="13"/>
  <c r="I264" i="13"/>
  <c r="H264" i="13"/>
  <c r="F264" i="13"/>
  <c r="X263" i="13"/>
  <c r="W263" i="13"/>
  <c r="V263" i="13"/>
  <c r="U263" i="13"/>
  <c r="Q263" i="13"/>
  <c r="T263" i="13" s="1"/>
  <c r="P263" i="13"/>
  <c r="O263" i="13"/>
  <c r="N263" i="13"/>
  <c r="M263" i="13"/>
  <c r="L263" i="13"/>
  <c r="K263" i="13"/>
  <c r="J263" i="13"/>
  <c r="I263" i="13"/>
  <c r="H263" i="13"/>
  <c r="F263" i="13"/>
  <c r="X262" i="13"/>
  <c r="W262" i="13"/>
  <c r="V262" i="13"/>
  <c r="U262" i="13"/>
  <c r="Q262" i="13"/>
  <c r="T262" i="13" s="1"/>
  <c r="P262" i="13"/>
  <c r="O262" i="13"/>
  <c r="N262" i="13"/>
  <c r="M262" i="13"/>
  <c r="L262" i="13"/>
  <c r="K262" i="13"/>
  <c r="J262" i="13"/>
  <c r="I262" i="13"/>
  <c r="H262" i="13"/>
  <c r="F262" i="13"/>
  <c r="X261" i="13"/>
  <c r="W261" i="13"/>
  <c r="V261" i="13"/>
  <c r="U261" i="13"/>
  <c r="Q261" i="13"/>
  <c r="T261" i="13" s="1"/>
  <c r="P261" i="13"/>
  <c r="O261" i="13"/>
  <c r="N261" i="13"/>
  <c r="M261" i="13"/>
  <c r="L261" i="13"/>
  <c r="K261" i="13"/>
  <c r="J261" i="13"/>
  <c r="I261" i="13"/>
  <c r="H261" i="13"/>
  <c r="F261" i="13"/>
  <c r="X260" i="13"/>
  <c r="W260" i="13"/>
  <c r="V260" i="13"/>
  <c r="U260" i="13"/>
  <c r="Q260" i="13"/>
  <c r="T260" i="13" s="1"/>
  <c r="P260" i="13"/>
  <c r="O260" i="13"/>
  <c r="N260" i="13"/>
  <c r="M260" i="13"/>
  <c r="L260" i="13"/>
  <c r="K260" i="13"/>
  <c r="J260" i="13"/>
  <c r="I260" i="13"/>
  <c r="H260" i="13"/>
  <c r="F260" i="13"/>
  <c r="X259" i="13"/>
  <c r="W259" i="13"/>
  <c r="V259" i="13"/>
  <c r="U259" i="13"/>
  <c r="Q259" i="13"/>
  <c r="T259" i="13" s="1"/>
  <c r="P259" i="13"/>
  <c r="O259" i="13"/>
  <c r="N259" i="13"/>
  <c r="M259" i="13"/>
  <c r="L259" i="13"/>
  <c r="K259" i="13"/>
  <c r="J259" i="13"/>
  <c r="I259" i="13"/>
  <c r="H259" i="13"/>
  <c r="F259" i="13"/>
  <c r="X258" i="13"/>
  <c r="W258" i="13"/>
  <c r="V258" i="13"/>
  <c r="U258" i="13"/>
  <c r="Q258" i="13"/>
  <c r="T258" i="13" s="1"/>
  <c r="P258" i="13"/>
  <c r="O258" i="13"/>
  <c r="N258" i="13"/>
  <c r="M258" i="13"/>
  <c r="L258" i="13"/>
  <c r="K258" i="13"/>
  <c r="J258" i="13"/>
  <c r="I258" i="13"/>
  <c r="H258" i="13"/>
  <c r="F258" i="13"/>
  <c r="X257" i="13"/>
  <c r="W257" i="13"/>
  <c r="V257" i="13"/>
  <c r="U257" i="13"/>
  <c r="Q257" i="13"/>
  <c r="T257" i="13" s="1"/>
  <c r="P257" i="13"/>
  <c r="O257" i="13"/>
  <c r="N257" i="13"/>
  <c r="M257" i="13"/>
  <c r="L257" i="13"/>
  <c r="K257" i="13"/>
  <c r="J257" i="13"/>
  <c r="I257" i="13"/>
  <c r="H257" i="13"/>
  <c r="F257" i="13"/>
  <c r="X256" i="13"/>
  <c r="W256" i="13"/>
  <c r="V256" i="13"/>
  <c r="U256" i="13"/>
  <c r="Q256" i="13"/>
  <c r="T256" i="13" s="1"/>
  <c r="P256" i="13"/>
  <c r="O256" i="13"/>
  <c r="N256" i="13"/>
  <c r="M256" i="13"/>
  <c r="L256" i="13"/>
  <c r="K256" i="13"/>
  <c r="J256" i="13"/>
  <c r="I256" i="13"/>
  <c r="H256" i="13"/>
  <c r="F256" i="13"/>
  <c r="X255" i="13"/>
  <c r="W255" i="13"/>
  <c r="V255" i="13"/>
  <c r="U255" i="13"/>
  <c r="Q255" i="13"/>
  <c r="T255" i="13" s="1"/>
  <c r="P255" i="13"/>
  <c r="O255" i="13"/>
  <c r="N255" i="13"/>
  <c r="M255" i="13"/>
  <c r="L255" i="13"/>
  <c r="K255" i="13"/>
  <c r="J255" i="13"/>
  <c r="I255" i="13"/>
  <c r="H255" i="13"/>
  <c r="F255" i="13"/>
  <c r="X254" i="13"/>
  <c r="W254" i="13"/>
  <c r="V254" i="13"/>
  <c r="U254" i="13"/>
  <c r="Q254" i="13"/>
  <c r="T254" i="13" s="1"/>
  <c r="P254" i="13"/>
  <c r="O254" i="13"/>
  <c r="N254" i="13"/>
  <c r="M254" i="13"/>
  <c r="L254" i="13"/>
  <c r="K254" i="13"/>
  <c r="J254" i="13"/>
  <c r="I254" i="13"/>
  <c r="H254" i="13"/>
  <c r="F254" i="13"/>
  <c r="X253" i="13"/>
  <c r="W253" i="13"/>
  <c r="V253" i="13"/>
  <c r="U253" i="13"/>
  <c r="Q253" i="13"/>
  <c r="T253" i="13" s="1"/>
  <c r="P253" i="13"/>
  <c r="O253" i="13"/>
  <c r="N253" i="13"/>
  <c r="M253" i="13"/>
  <c r="L253" i="13"/>
  <c r="K253" i="13"/>
  <c r="J253" i="13"/>
  <c r="I253" i="13"/>
  <c r="H253" i="13"/>
  <c r="F253" i="13"/>
  <c r="X252" i="13"/>
  <c r="W252" i="13"/>
  <c r="V252" i="13"/>
  <c r="U252" i="13"/>
  <c r="Q252" i="13"/>
  <c r="T252" i="13" s="1"/>
  <c r="P252" i="13"/>
  <c r="O252" i="13"/>
  <c r="N252" i="13"/>
  <c r="M252" i="13"/>
  <c r="L252" i="13"/>
  <c r="K252" i="13"/>
  <c r="J252" i="13"/>
  <c r="I252" i="13"/>
  <c r="H252" i="13"/>
  <c r="F252" i="13"/>
  <c r="X251" i="13"/>
  <c r="W251" i="13"/>
  <c r="V251" i="13"/>
  <c r="U251" i="13"/>
  <c r="Q251" i="13"/>
  <c r="T251" i="13" s="1"/>
  <c r="P251" i="13"/>
  <c r="O251" i="13"/>
  <c r="N251" i="13"/>
  <c r="M251" i="13"/>
  <c r="L251" i="13"/>
  <c r="K251" i="13"/>
  <c r="J251" i="13"/>
  <c r="I251" i="13"/>
  <c r="H251" i="13"/>
  <c r="F251" i="13"/>
  <c r="AA250" i="13"/>
  <c r="X250" i="13"/>
  <c r="W250" i="13"/>
  <c r="U250" i="13"/>
  <c r="Q250" i="13"/>
  <c r="T250" i="13" s="1"/>
  <c r="P250" i="13"/>
  <c r="O250" i="13"/>
  <c r="N250" i="13"/>
  <c r="M250" i="13"/>
  <c r="L250" i="13"/>
  <c r="K250" i="13"/>
  <c r="J250" i="13"/>
  <c r="I250" i="13"/>
  <c r="H250" i="13"/>
  <c r="F250" i="13"/>
  <c r="V250" i="13"/>
  <c r="X249" i="13"/>
  <c r="W249" i="13"/>
  <c r="V249" i="13"/>
  <c r="U249" i="13"/>
  <c r="Q249" i="13"/>
  <c r="T249" i="13" s="1"/>
  <c r="P249" i="13"/>
  <c r="O249" i="13"/>
  <c r="N249" i="13"/>
  <c r="M249" i="13"/>
  <c r="L249" i="13"/>
  <c r="K249" i="13"/>
  <c r="J249" i="13"/>
  <c r="I249" i="13"/>
  <c r="H249" i="13"/>
  <c r="F249" i="13"/>
  <c r="AA248" i="13"/>
  <c r="X248" i="13"/>
  <c r="W248" i="13"/>
  <c r="V248" i="13"/>
  <c r="U248" i="13"/>
  <c r="Q248" i="13"/>
  <c r="T248" i="13" s="1"/>
  <c r="P248" i="13"/>
  <c r="O248" i="13"/>
  <c r="N248" i="13"/>
  <c r="M248" i="13"/>
  <c r="L248" i="13"/>
  <c r="K248" i="13"/>
  <c r="J248" i="13"/>
  <c r="I248" i="13"/>
  <c r="H248" i="13"/>
  <c r="F248" i="13"/>
  <c r="AA247" i="13"/>
  <c r="X247" i="13"/>
  <c r="W247" i="13"/>
  <c r="V247" i="13"/>
  <c r="U247" i="13"/>
  <c r="Q247" i="13"/>
  <c r="T247" i="13" s="1"/>
  <c r="P247" i="13"/>
  <c r="O247" i="13"/>
  <c r="O246" i="13" s="1"/>
  <c r="N247" i="13"/>
  <c r="N246" i="13" s="1"/>
  <c r="M247" i="13"/>
  <c r="M246" i="13" s="1"/>
  <c r="L247" i="13"/>
  <c r="L246" i="13" s="1"/>
  <c r="K247" i="13"/>
  <c r="K246" i="13" s="1"/>
  <c r="J247" i="13"/>
  <c r="J246" i="13" s="1"/>
  <c r="I247" i="13"/>
  <c r="I246" i="13" s="1"/>
  <c r="H247" i="13"/>
  <c r="H246" i="13" s="1"/>
  <c r="F247" i="13"/>
  <c r="AA246" i="13"/>
  <c r="X246" i="13"/>
  <c r="P246" i="13"/>
  <c r="AA245" i="13"/>
  <c r="X245" i="13"/>
  <c r="W245" i="13"/>
  <c r="V245" i="13"/>
  <c r="U245" i="13"/>
  <c r="Q245" i="13"/>
  <c r="T245" i="13" s="1"/>
  <c r="P245" i="13"/>
  <c r="O245" i="13"/>
  <c r="N245" i="13"/>
  <c r="M245" i="13"/>
  <c r="L245" i="13"/>
  <c r="K245" i="13"/>
  <c r="J245" i="13"/>
  <c r="I245" i="13"/>
  <c r="H245" i="13"/>
  <c r="F245" i="13"/>
  <c r="AA244" i="13"/>
  <c r="X244" i="13"/>
  <c r="W244" i="13"/>
  <c r="V244" i="13"/>
  <c r="U244" i="13"/>
  <c r="Q244" i="13"/>
  <c r="T244" i="13" s="1"/>
  <c r="P244" i="13"/>
  <c r="O244" i="13"/>
  <c r="N244" i="13"/>
  <c r="M244" i="13"/>
  <c r="L244" i="13"/>
  <c r="K244" i="13"/>
  <c r="J244" i="13"/>
  <c r="I244" i="13"/>
  <c r="H244" i="13"/>
  <c r="F244" i="13"/>
  <c r="AA243" i="13"/>
  <c r="X243" i="13"/>
  <c r="W243" i="13"/>
  <c r="V243" i="13"/>
  <c r="U243" i="13"/>
  <c r="Q243" i="13"/>
  <c r="T243" i="13" s="1"/>
  <c r="P243" i="13"/>
  <c r="O243" i="13"/>
  <c r="N243" i="13"/>
  <c r="M243" i="13"/>
  <c r="L243" i="13"/>
  <c r="K243" i="13"/>
  <c r="J243" i="13"/>
  <c r="I243" i="13"/>
  <c r="H243" i="13"/>
  <c r="F243" i="13"/>
  <c r="AA242" i="13"/>
  <c r="X242" i="13"/>
  <c r="W242" i="13"/>
  <c r="V242" i="13"/>
  <c r="U242" i="13"/>
  <c r="Q242" i="13"/>
  <c r="T242" i="13" s="1"/>
  <c r="P242" i="13"/>
  <c r="O242" i="13"/>
  <c r="N242" i="13"/>
  <c r="M242" i="13"/>
  <c r="L242" i="13"/>
  <c r="K242" i="13"/>
  <c r="J242" i="13"/>
  <c r="I242" i="13"/>
  <c r="H242" i="13"/>
  <c r="F242" i="13"/>
  <c r="AA241" i="13"/>
  <c r="X241" i="13"/>
  <c r="W241" i="13"/>
  <c r="V241" i="13"/>
  <c r="U241" i="13"/>
  <c r="Q241" i="13"/>
  <c r="T241" i="13" s="1"/>
  <c r="P241" i="13"/>
  <c r="O241" i="13"/>
  <c r="N241" i="13"/>
  <c r="M241" i="13"/>
  <c r="L241" i="13"/>
  <c r="K241" i="13"/>
  <c r="J241" i="13"/>
  <c r="I241" i="13"/>
  <c r="H241" i="13"/>
  <c r="F241" i="13"/>
  <c r="AA240" i="13"/>
  <c r="X240" i="13"/>
  <c r="W240" i="13"/>
  <c r="V240" i="13"/>
  <c r="U240" i="13"/>
  <c r="Q240" i="13"/>
  <c r="T240" i="13" s="1"/>
  <c r="P240" i="13"/>
  <c r="O240" i="13"/>
  <c r="N240" i="13"/>
  <c r="M240" i="13"/>
  <c r="L240" i="13"/>
  <c r="K240" i="13"/>
  <c r="J240" i="13"/>
  <c r="I240" i="13"/>
  <c r="H240" i="13"/>
  <c r="F240" i="13"/>
  <c r="AA239" i="13"/>
  <c r="X239" i="13"/>
  <c r="W239" i="13"/>
  <c r="V239" i="13"/>
  <c r="U239" i="13"/>
  <c r="Q239" i="13"/>
  <c r="T239" i="13" s="1"/>
  <c r="P239" i="13"/>
  <c r="O239" i="13"/>
  <c r="N239" i="13"/>
  <c r="M239" i="13"/>
  <c r="L239" i="13"/>
  <c r="K239" i="13"/>
  <c r="J239" i="13"/>
  <c r="I239" i="13"/>
  <c r="H239" i="13"/>
  <c r="F239" i="13"/>
  <c r="AA238" i="13"/>
  <c r="X238" i="13"/>
  <c r="W238" i="13"/>
  <c r="V238" i="13"/>
  <c r="U238" i="13"/>
  <c r="Q238" i="13"/>
  <c r="T238" i="13" s="1"/>
  <c r="P238" i="13"/>
  <c r="O238" i="13"/>
  <c r="N238" i="13"/>
  <c r="M238" i="13"/>
  <c r="L238" i="13"/>
  <c r="K238" i="13"/>
  <c r="J238" i="13"/>
  <c r="I238" i="13"/>
  <c r="H238" i="13"/>
  <c r="F238" i="13"/>
  <c r="AA237" i="13"/>
  <c r="X237" i="13"/>
  <c r="W237" i="13"/>
  <c r="V237" i="13"/>
  <c r="U237" i="13"/>
  <c r="Q237" i="13"/>
  <c r="T237" i="13" s="1"/>
  <c r="P237" i="13"/>
  <c r="O237" i="13"/>
  <c r="N237" i="13"/>
  <c r="M237" i="13"/>
  <c r="L237" i="13"/>
  <c r="K237" i="13"/>
  <c r="J237" i="13"/>
  <c r="I237" i="13"/>
  <c r="H237" i="13"/>
  <c r="F237" i="13"/>
  <c r="AA236" i="13"/>
  <c r="X236" i="13"/>
  <c r="W236" i="13"/>
  <c r="V236" i="13"/>
  <c r="U236" i="13"/>
  <c r="Q236" i="13"/>
  <c r="T236" i="13" s="1"/>
  <c r="P236" i="13"/>
  <c r="O236" i="13"/>
  <c r="N236" i="13"/>
  <c r="M236" i="13"/>
  <c r="L236" i="13"/>
  <c r="K236" i="13"/>
  <c r="J236" i="13"/>
  <c r="I236" i="13"/>
  <c r="H236" i="13"/>
  <c r="F236" i="13"/>
  <c r="AA235" i="13"/>
  <c r="X235" i="13"/>
  <c r="W235" i="13"/>
  <c r="V235" i="13"/>
  <c r="U235" i="13"/>
  <c r="Q235" i="13"/>
  <c r="T235" i="13" s="1"/>
  <c r="P235" i="13"/>
  <c r="O235" i="13"/>
  <c r="N235" i="13"/>
  <c r="M235" i="13"/>
  <c r="L235" i="13"/>
  <c r="K235" i="13"/>
  <c r="J235" i="13"/>
  <c r="I235" i="13"/>
  <c r="H235" i="13"/>
  <c r="F235" i="13"/>
  <c r="AA234" i="13"/>
  <c r="X234" i="13"/>
  <c r="X233" i="13" s="1"/>
  <c r="W234" i="13"/>
  <c r="V234" i="13"/>
  <c r="U234" i="13"/>
  <c r="Q234" i="13"/>
  <c r="T234" i="13" s="1"/>
  <c r="P234" i="13"/>
  <c r="O234" i="13"/>
  <c r="O233" i="13" s="1"/>
  <c r="N234" i="13"/>
  <c r="M234" i="13"/>
  <c r="M233" i="13" s="1"/>
  <c r="L234" i="13"/>
  <c r="K234" i="13"/>
  <c r="J234" i="13"/>
  <c r="I234" i="13"/>
  <c r="I233" i="13" s="1"/>
  <c r="H234" i="13"/>
  <c r="F234" i="13"/>
  <c r="AA233" i="13"/>
  <c r="AA232" i="13"/>
  <c r="X232" i="13"/>
  <c r="W232" i="13"/>
  <c r="V232" i="13"/>
  <c r="U232" i="13"/>
  <c r="Q232" i="13"/>
  <c r="T232" i="13" s="1"/>
  <c r="P232" i="13"/>
  <c r="O232" i="13"/>
  <c r="N232" i="13"/>
  <c r="M232" i="13"/>
  <c r="L232" i="13"/>
  <c r="K232" i="13"/>
  <c r="J232" i="13"/>
  <c r="I232" i="13"/>
  <c r="H232" i="13"/>
  <c r="F232" i="13"/>
  <c r="AA231" i="13"/>
  <c r="X231" i="13"/>
  <c r="W231" i="13"/>
  <c r="V231" i="13"/>
  <c r="U231" i="13"/>
  <c r="Q231" i="13"/>
  <c r="T231" i="13" s="1"/>
  <c r="P231" i="13"/>
  <c r="O231" i="13"/>
  <c r="N231" i="13"/>
  <c r="M231" i="13"/>
  <c r="L231" i="13"/>
  <c r="K231" i="13"/>
  <c r="J231" i="13"/>
  <c r="I231" i="13"/>
  <c r="H231" i="13"/>
  <c r="F231" i="13"/>
  <c r="AA230" i="13"/>
  <c r="X230" i="13"/>
  <c r="W230" i="13"/>
  <c r="V230" i="13"/>
  <c r="U230" i="13"/>
  <c r="Q230" i="13"/>
  <c r="T230" i="13" s="1"/>
  <c r="P230" i="13"/>
  <c r="O230" i="13"/>
  <c r="N230" i="13"/>
  <c r="M230" i="13"/>
  <c r="L230" i="13"/>
  <c r="K230" i="13"/>
  <c r="J230" i="13"/>
  <c r="I230" i="13"/>
  <c r="H230" i="13"/>
  <c r="F230" i="13"/>
  <c r="AA229" i="13"/>
  <c r="X229" i="13"/>
  <c r="W229" i="13"/>
  <c r="V229" i="13"/>
  <c r="U229" i="13"/>
  <c r="Q229" i="13"/>
  <c r="T229" i="13" s="1"/>
  <c r="P229" i="13"/>
  <c r="O229" i="13"/>
  <c r="N229" i="13"/>
  <c r="M229" i="13"/>
  <c r="L229" i="13"/>
  <c r="K229" i="13"/>
  <c r="J229" i="13"/>
  <c r="I229" i="13"/>
  <c r="H229" i="13"/>
  <c r="F229" i="13"/>
  <c r="AA228" i="13"/>
  <c r="X228" i="13"/>
  <c r="W228" i="13"/>
  <c r="V228" i="13"/>
  <c r="U228" i="13"/>
  <c r="Q228" i="13"/>
  <c r="T228" i="13" s="1"/>
  <c r="P228" i="13"/>
  <c r="O228" i="13"/>
  <c r="N228" i="13"/>
  <c r="M228" i="13"/>
  <c r="L228" i="13"/>
  <c r="K228" i="13"/>
  <c r="J228" i="13"/>
  <c r="I228" i="13"/>
  <c r="H228" i="13"/>
  <c r="F228" i="13"/>
  <c r="AA227" i="13"/>
  <c r="X227" i="13"/>
  <c r="W227" i="13"/>
  <c r="V227" i="13"/>
  <c r="U227" i="13"/>
  <c r="Q227" i="13"/>
  <c r="T227" i="13" s="1"/>
  <c r="P227" i="13"/>
  <c r="O227" i="13"/>
  <c r="N227" i="13"/>
  <c r="M227" i="13"/>
  <c r="L227" i="13"/>
  <c r="K227" i="13"/>
  <c r="J227" i="13"/>
  <c r="I227" i="13"/>
  <c r="H227" i="13"/>
  <c r="F227" i="13"/>
  <c r="AA226" i="13"/>
  <c r="X226" i="13"/>
  <c r="W226" i="13"/>
  <c r="W225" i="13" s="1"/>
  <c r="V226" i="13"/>
  <c r="U226" i="13"/>
  <c r="Q226" i="13"/>
  <c r="T226" i="13" s="1"/>
  <c r="P226" i="13"/>
  <c r="O226" i="13"/>
  <c r="N226" i="13"/>
  <c r="M226" i="13"/>
  <c r="M225" i="13" s="1"/>
  <c r="L226" i="13"/>
  <c r="K226" i="13"/>
  <c r="J226" i="13"/>
  <c r="I226" i="13"/>
  <c r="I225" i="13" s="1"/>
  <c r="H226" i="13"/>
  <c r="F226" i="13"/>
  <c r="AA225" i="13"/>
  <c r="S225" i="13"/>
  <c r="R225" i="13"/>
  <c r="AA224" i="13"/>
  <c r="X224" i="13"/>
  <c r="W224" i="13"/>
  <c r="V224" i="13"/>
  <c r="U224" i="13"/>
  <c r="Q224" i="13"/>
  <c r="T224" i="13" s="1"/>
  <c r="P224" i="13"/>
  <c r="O224" i="13"/>
  <c r="N224" i="13"/>
  <c r="M224" i="13"/>
  <c r="L224" i="13"/>
  <c r="K224" i="13"/>
  <c r="J224" i="13"/>
  <c r="I224" i="13"/>
  <c r="H224" i="13"/>
  <c r="F224" i="13"/>
  <c r="AA223" i="13"/>
  <c r="X223" i="13"/>
  <c r="X222" i="13" s="1"/>
  <c r="W223" i="13"/>
  <c r="W222" i="13" s="1"/>
  <c r="V223" i="13"/>
  <c r="V222" i="13" s="1"/>
  <c r="U223" i="13"/>
  <c r="U222" i="13" s="1"/>
  <c r="Q223" i="13"/>
  <c r="T223" i="13" s="1"/>
  <c r="T222" i="13" s="1"/>
  <c r="P223" i="13"/>
  <c r="O223" i="13"/>
  <c r="N223" i="13"/>
  <c r="M223" i="13"/>
  <c r="M222" i="13" s="1"/>
  <c r="L223" i="13"/>
  <c r="K223" i="13"/>
  <c r="J223" i="13"/>
  <c r="I223" i="13"/>
  <c r="I222" i="13" s="1"/>
  <c r="H223" i="13"/>
  <c r="F223" i="13"/>
  <c r="AA222" i="13"/>
  <c r="S222" i="13"/>
  <c r="R222" i="13"/>
  <c r="AA221" i="13"/>
  <c r="X221" i="13"/>
  <c r="W221" i="13"/>
  <c r="V221" i="13"/>
  <c r="U221" i="13"/>
  <c r="Q221" i="13"/>
  <c r="T221" i="13" s="1"/>
  <c r="P221" i="13"/>
  <c r="O221" i="13"/>
  <c r="N221" i="13"/>
  <c r="M221" i="13"/>
  <c r="L221" i="13"/>
  <c r="K221" i="13"/>
  <c r="J221" i="13"/>
  <c r="I221" i="13"/>
  <c r="H221" i="13"/>
  <c r="F221" i="13"/>
  <c r="AA220" i="13"/>
  <c r="X220" i="13"/>
  <c r="W220" i="13"/>
  <c r="V220" i="13"/>
  <c r="U220" i="13"/>
  <c r="Q220" i="13"/>
  <c r="T220" i="13" s="1"/>
  <c r="P220" i="13"/>
  <c r="O220" i="13"/>
  <c r="N220" i="13"/>
  <c r="M220" i="13"/>
  <c r="L220" i="13"/>
  <c r="K220" i="13"/>
  <c r="J220" i="13"/>
  <c r="I220" i="13"/>
  <c r="H220" i="13"/>
  <c r="F220" i="13"/>
  <c r="AA219" i="13"/>
  <c r="X219" i="13"/>
  <c r="W219" i="13"/>
  <c r="V219" i="13"/>
  <c r="U219" i="13"/>
  <c r="Q219" i="13"/>
  <c r="T219" i="13" s="1"/>
  <c r="P219" i="13"/>
  <c r="O219" i="13"/>
  <c r="N219" i="13"/>
  <c r="M219" i="13"/>
  <c r="L219" i="13"/>
  <c r="K219" i="13"/>
  <c r="J219" i="13"/>
  <c r="I219" i="13"/>
  <c r="H219" i="13"/>
  <c r="F219" i="13"/>
  <c r="AA218" i="13"/>
  <c r="X218" i="13"/>
  <c r="W218" i="13"/>
  <c r="V218" i="13"/>
  <c r="U218" i="13"/>
  <c r="Q218" i="13"/>
  <c r="T218" i="13" s="1"/>
  <c r="P218" i="13"/>
  <c r="O218" i="13"/>
  <c r="N218" i="13"/>
  <c r="M218" i="13"/>
  <c r="L218" i="13"/>
  <c r="K218" i="13"/>
  <c r="J218" i="13"/>
  <c r="I218" i="13"/>
  <c r="H218" i="13"/>
  <c r="F218" i="13"/>
  <c r="AA217" i="13"/>
  <c r="X217" i="13"/>
  <c r="W217" i="13"/>
  <c r="V217" i="13"/>
  <c r="U217" i="13"/>
  <c r="Q217" i="13"/>
  <c r="T217" i="13" s="1"/>
  <c r="P217" i="13"/>
  <c r="O217" i="13"/>
  <c r="N217" i="13"/>
  <c r="M217" i="13"/>
  <c r="L217" i="13"/>
  <c r="K217" i="13"/>
  <c r="J217" i="13"/>
  <c r="I217" i="13"/>
  <c r="H217" i="13"/>
  <c r="F217" i="13"/>
  <c r="AA216" i="13"/>
  <c r="X216" i="13"/>
  <c r="W216" i="13"/>
  <c r="V216" i="13"/>
  <c r="U216" i="13"/>
  <c r="Q216" i="13"/>
  <c r="T216" i="13" s="1"/>
  <c r="P216" i="13"/>
  <c r="O216" i="13"/>
  <c r="N216" i="13"/>
  <c r="M216" i="13"/>
  <c r="L216" i="13"/>
  <c r="K216" i="13"/>
  <c r="J216" i="13"/>
  <c r="I216" i="13"/>
  <c r="H216" i="13"/>
  <c r="F216" i="13"/>
  <c r="AA215" i="13"/>
  <c r="X215" i="13"/>
  <c r="W215" i="13"/>
  <c r="V215" i="13"/>
  <c r="U215" i="13"/>
  <c r="Q215" i="13"/>
  <c r="T215" i="13" s="1"/>
  <c r="P215" i="13"/>
  <c r="O215" i="13"/>
  <c r="N215" i="13"/>
  <c r="M215" i="13"/>
  <c r="L215" i="13"/>
  <c r="K215" i="13"/>
  <c r="J215" i="13"/>
  <c r="I215" i="13"/>
  <c r="H215" i="13"/>
  <c r="F215" i="13"/>
  <c r="AA214" i="13"/>
  <c r="X214" i="13"/>
  <c r="X213" i="13" s="1"/>
  <c r="W214" i="13"/>
  <c r="V214" i="13"/>
  <c r="V213" i="13" s="1"/>
  <c r="U214" i="13"/>
  <c r="U213" i="13" s="1"/>
  <c r="Q214" i="13"/>
  <c r="T214" i="13" s="1"/>
  <c r="P214" i="13"/>
  <c r="O214" i="13"/>
  <c r="O213" i="13" s="1"/>
  <c r="N214" i="13"/>
  <c r="M214" i="13"/>
  <c r="M213" i="13" s="1"/>
  <c r="L214" i="13"/>
  <c r="K214" i="13"/>
  <c r="K213" i="13" s="1"/>
  <c r="J214" i="13"/>
  <c r="J213" i="13" s="1"/>
  <c r="I214" i="13"/>
  <c r="I213" i="13" s="1"/>
  <c r="H214" i="13"/>
  <c r="F214" i="13"/>
  <c r="AA213" i="13"/>
  <c r="AA212" i="13"/>
  <c r="X212" i="13"/>
  <c r="W212" i="13"/>
  <c r="V212" i="13"/>
  <c r="U212" i="13"/>
  <c r="Q212" i="13"/>
  <c r="T212" i="13" s="1"/>
  <c r="P212" i="13"/>
  <c r="O212" i="13"/>
  <c r="N212" i="13"/>
  <c r="M212" i="13"/>
  <c r="L212" i="13"/>
  <c r="K212" i="13"/>
  <c r="J212" i="13"/>
  <c r="I212" i="13"/>
  <c r="H212" i="13"/>
  <c r="F212" i="13"/>
  <c r="AA211" i="13"/>
  <c r="X211" i="13"/>
  <c r="W211" i="13"/>
  <c r="V211" i="13"/>
  <c r="U211" i="13"/>
  <c r="Q211" i="13"/>
  <c r="T211" i="13" s="1"/>
  <c r="P211" i="13"/>
  <c r="O211" i="13"/>
  <c r="N211" i="13"/>
  <c r="M211" i="13"/>
  <c r="L211" i="13"/>
  <c r="K211" i="13"/>
  <c r="J211" i="13"/>
  <c r="I211" i="13"/>
  <c r="H211" i="13"/>
  <c r="F211" i="13"/>
  <c r="AA210" i="13"/>
  <c r="X210" i="13"/>
  <c r="W210" i="13"/>
  <c r="V210" i="13"/>
  <c r="U210" i="13"/>
  <c r="Q210" i="13"/>
  <c r="T210" i="13" s="1"/>
  <c r="P210" i="13"/>
  <c r="O210" i="13"/>
  <c r="N210" i="13"/>
  <c r="M210" i="13"/>
  <c r="L210" i="13"/>
  <c r="K210" i="13"/>
  <c r="J210" i="13"/>
  <c r="I210" i="13"/>
  <c r="H210" i="13"/>
  <c r="F210" i="13"/>
  <c r="AA209" i="13"/>
  <c r="X209" i="13"/>
  <c r="W209" i="13"/>
  <c r="V209" i="13"/>
  <c r="U209" i="13"/>
  <c r="Q209" i="13"/>
  <c r="T209" i="13" s="1"/>
  <c r="P209" i="13"/>
  <c r="O209" i="13"/>
  <c r="N209" i="13"/>
  <c r="M209" i="13"/>
  <c r="L209" i="13"/>
  <c r="K209" i="13"/>
  <c r="J209" i="13"/>
  <c r="I209" i="13"/>
  <c r="H209" i="13"/>
  <c r="F209" i="13"/>
  <c r="AA208" i="13"/>
  <c r="X208" i="13"/>
  <c r="W208" i="13"/>
  <c r="V208" i="13"/>
  <c r="U208" i="13"/>
  <c r="Q208" i="13"/>
  <c r="T208" i="13" s="1"/>
  <c r="P208" i="13"/>
  <c r="O208" i="13"/>
  <c r="N208" i="13"/>
  <c r="M208" i="13"/>
  <c r="L208" i="13"/>
  <c r="K208" i="13"/>
  <c r="J208" i="13"/>
  <c r="I208" i="13"/>
  <c r="H208" i="13"/>
  <c r="F208" i="13"/>
  <c r="AA207" i="13"/>
  <c r="X207" i="13"/>
  <c r="W207" i="13"/>
  <c r="V207" i="13"/>
  <c r="U207" i="13"/>
  <c r="Q207" i="13"/>
  <c r="T207" i="13" s="1"/>
  <c r="P207" i="13"/>
  <c r="O207" i="13"/>
  <c r="N207" i="13"/>
  <c r="M207" i="13"/>
  <c r="L207" i="13"/>
  <c r="K207" i="13"/>
  <c r="J207" i="13"/>
  <c r="I207" i="13"/>
  <c r="H207" i="13"/>
  <c r="F207" i="13"/>
  <c r="AA206" i="13"/>
  <c r="X206" i="13"/>
  <c r="X205" i="13" s="1"/>
  <c r="W206" i="13"/>
  <c r="W205" i="13" s="1"/>
  <c r="V206" i="13"/>
  <c r="V205" i="13" s="1"/>
  <c r="U206" i="13"/>
  <c r="U205" i="13" s="1"/>
  <c r="Q206" i="13"/>
  <c r="T206" i="13" s="1"/>
  <c r="T205" i="13" s="1"/>
  <c r="P206" i="13"/>
  <c r="P205" i="13" s="1"/>
  <c r="O206" i="13"/>
  <c r="O205" i="13" s="1"/>
  <c r="N206" i="13"/>
  <c r="N205" i="13" s="1"/>
  <c r="M206" i="13"/>
  <c r="M205" i="13" s="1"/>
  <c r="L206" i="13"/>
  <c r="L205" i="13" s="1"/>
  <c r="K206" i="13"/>
  <c r="K205" i="13" s="1"/>
  <c r="J206" i="13"/>
  <c r="J205" i="13" s="1"/>
  <c r="I206" i="13"/>
  <c r="I205" i="13" s="1"/>
  <c r="H206" i="13"/>
  <c r="H205" i="13" s="1"/>
  <c r="F206" i="13"/>
  <c r="AA205" i="13"/>
  <c r="S205" i="13"/>
  <c r="R205" i="13"/>
  <c r="AA204" i="13"/>
  <c r="X204" i="13"/>
  <c r="X203" i="13" s="1"/>
  <c r="W204" i="13"/>
  <c r="W203" i="13" s="1"/>
  <c r="V204" i="13"/>
  <c r="V203" i="13" s="1"/>
  <c r="U204" i="13"/>
  <c r="U203" i="13" s="1"/>
  <c r="Q204" i="13"/>
  <c r="T204" i="13" s="1"/>
  <c r="T203" i="13" s="1"/>
  <c r="P204" i="13"/>
  <c r="P203" i="13" s="1"/>
  <c r="O204" i="13"/>
  <c r="O203" i="13" s="1"/>
  <c r="N204" i="13"/>
  <c r="N203" i="13" s="1"/>
  <c r="M204" i="13"/>
  <c r="M203" i="13" s="1"/>
  <c r="L204" i="13"/>
  <c r="L203" i="13" s="1"/>
  <c r="K204" i="13"/>
  <c r="K203" i="13" s="1"/>
  <c r="J204" i="13"/>
  <c r="J203" i="13" s="1"/>
  <c r="I204" i="13"/>
  <c r="I203" i="13" s="1"/>
  <c r="H204" i="13"/>
  <c r="F204" i="13"/>
  <c r="AA203" i="13"/>
  <c r="S203" i="13"/>
  <c r="R203" i="13"/>
  <c r="AA202" i="13"/>
  <c r="X202" i="13"/>
  <c r="W202" i="13"/>
  <c r="W201" i="13" s="1"/>
  <c r="V202" i="13"/>
  <c r="V201" i="13" s="1"/>
  <c r="U202" i="13"/>
  <c r="U201" i="13" s="1"/>
  <c r="Q202" i="13"/>
  <c r="T202" i="13" s="1"/>
  <c r="T201" i="13" s="1"/>
  <c r="P202" i="13"/>
  <c r="P201" i="13" s="1"/>
  <c r="O202" i="13"/>
  <c r="O201" i="13" s="1"/>
  <c r="N202" i="13"/>
  <c r="N201" i="13" s="1"/>
  <c r="M202" i="13"/>
  <c r="M201" i="13" s="1"/>
  <c r="L202" i="13"/>
  <c r="L201" i="13" s="1"/>
  <c r="K202" i="13"/>
  <c r="K201" i="13" s="1"/>
  <c r="J202" i="13"/>
  <c r="J201" i="13" s="1"/>
  <c r="I202" i="13"/>
  <c r="I201" i="13" s="1"/>
  <c r="H202" i="13"/>
  <c r="H201" i="13" s="1"/>
  <c r="F202" i="13"/>
  <c r="AA201" i="13"/>
  <c r="X201" i="13"/>
  <c r="S201" i="13"/>
  <c r="R201" i="13"/>
  <c r="AA200" i="13"/>
  <c r="X200" i="13"/>
  <c r="W200" i="13"/>
  <c r="V200" i="13"/>
  <c r="U200" i="13"/>
  <c r="Q200" i="13"/>
  <c r="T200" i="13" s="1"/>
  <c r="P200" i="13"/>
  <c r="O200" i="13"/>
  <c r="N200" i="13"/>
  <c r="M200" i="13"/>
  <c r="L200" i="13"/>
  <c r="K200" i="13"/>
  <c r="J200" i="13"/>
  <c r="I200" i="13"/>
  <c r="H200" i="13"/>
  <c r="F200" i="13"/>
  <c r="AA199" i="13"/>
  <c r="X199" i="13"/>
  <c r="W199" i="13"/>
  <c r="V199" i="13"/>
  <c r="U199" i="13"/>
  <c r="Q199" i="13"/>
  <c r="T199" i="13" s="1"/>
  <c r="P199" i="13"/>
  <c r="P198" i="13" s="1"/>
  <c r="O199" i="13"/>
  <c r="O198" i="13" s="1"/>
  <c r="N199" i="13"/>
  <c r="N198" i="13" s="1"/>
  <c r="M199" i="13"/>
  <c r="M198" i="13" s="1"/>
  <c r="L199" i="13"/>
  <c r="L198" i="13" s="1"/>
  <c r="K199" i="13"/>
  <c r="K198" i="13" s="1"/>
  <c r="J199" i="13"/>
  <c r="J198" i="13" s="1"/>
  <c r="I199" i="13"/>
  <c r="I198" i="13" s="1"/>
  <c r="H199" i="13"/>
  <c r="H198" i="13" s="1"/>
  <c r="F199" i="13"/>
  <c r="AA198" i="13"/>
  <c r="X198" i="13"/>
  <c r="S198" i="13"/>
  <c r="R198" i="13"/>
  <c r="AA197" i="13"/>
  <c r="X197" i="13"/>
  <c r="W197" i="13"/>
  <c r="V197" i="13"/>
  <c r="U197" i="13"/>
  <c r="Q197" i="13"/>
  <c r="T197" i="13" s="1"/>
  <c r="P197" i="13"/>
  <c r="O197" i="13"/>
  <c r="N197" i="13"/>
  <c r="M197" i="13"/>
  <c r="L197" i="13"/>
  <c r="K197" i="13"/>
  <c r="J197" i="13"/>
  <c r="I197" i="13"/>
  <c r="H197" i="13"/>
  <c r="F197" i="13"/>
  <c r="AA196" i="13"/>
  <c r="X196" i="13"/>
  <c r="W196" i="13"/>
  <c r="V196" i="13"/>
  <c r="U196" i="13"/>
  <c r="Q196" i="13"/>
  <c r="T196" i="13" s="1"/>
  <c r="P196" i="13"/>
  <c r="O196" i="13"/>
  <c r="N196" i="13"/>
  <c r="M196" i="13"/>
  <c r="L196" i="13"/>
  <c r="K196" i="13"/>
  <c r="J196" i="13"/>
  <c r="I196" i="13"/>
  <c r="H196" i="13"/>
  <c r="F196" i="13"/>
  <c r="AA195" i="13"/>
  <c r="X195" i="13"/>
  <c r="W195" i="13"/>
  <c r="V195" i="13"/>
  <c r="U195" i="13"/>
  <c r="Q195" i="13"/>
  <c r="T195" i="13" s="1"/>
  <c r="P195" i="13"/>
  <c r="O195" i="13"/>
  <c r="N195" i="13"/>
  <c r="M195" i="13"/>
  <c r="L195" i="13"/>
  <c r="K195" i="13"/>
  <c r="J195" i="13"/>
  <c r="I195" i="13"/>
  <c r="H195" i="13"/>
  <c r="F195" i="13"/>
  <c r="AA194" i="13"/>
  <c r="X194" i="13"/>
  <c r="W194" i="13"/>
  <c r="V194" i="13"/>
  <c r="U194" i="13"/>
  <c r="Q194" i="13"/>
  <c r="T194" i="13" s="1"/>
  <c r="P194" i="13"/>
  <c r="O194" i="13"/>
  <c r="O193" i="13" s="1"/>
  <c r="N194" i="13"/>
  <c r="M194" i="13"/>
  <c r="M193" i="13" s="1"/>
  <c r="L194" i="13"/>
  <c r="L193" i="13" s="1"/>
  <c r="K194" i="13"/>
  <c r="K193" i="13" s="1"/>
  <c r="J194" i="13"/>
  <c r="I194" i="13"/>
  <c r="I193" i="13" s="1"/>
  <c r="H194" i="13"/>
  <c r="F194" i="13"/>
  <c r="AA193" i="13"/>
  <c r="X193" i="13"/>
  <c r="AA192" i="13"/>
  <c r="X192" i="13"/>
  <c r="W192" i="13"/>
  <c r="V192" i="13"/>
  <c r="U192" i="13"/>
  <c r="Q192" i="13"/>
  <c r="T192" i="13" s="1"/>
  <c r="P192" i="13"/>
  <c r="O192" i="13"/>
  <c r="N192" i="13"/>
  <c r="M192" i="13"/>
  <c r="L192" i="13"/>
  <c r="K192" i="13"/>
  <c r="J192" i="13"/>
  <c r="I192" i="13"/>
  <c r="H192" i="13"/>
  <c r="F192" i="13"/>
  <c r="AA191" i="13"/>
  <c r="X191" i="13"/>
  <c r="W191" i="13"/>
  <c r="V191" i="13"/>
  <c r="U191" i="13"/>
  <c r="Q191" i="13"/>
  <c r="T191" i="13" s="1"/>
  <c r="P191" i="13"/>
  <c r="O191" i="13"/>
  <c r="N191" i="13"/>
  <c r="M191" i="13"/>
  <c r="L191" i="13"/>
  <c r="K191" i="13"/>
  <c r="J191" i="13"/>
  <c r="I191" i="13"/>
  <c r="H191" i="13"/>
  <c r="F191" i="13"/>
  <c r="AA190" i="13"/>
  <c r="X190" i="13"/>
  <c r="X189" i="13" s="1"/>
  <c r="W190" i="13"/>
  <c r="V190" i="13"/>
  <c r="V189" i="13" s="1"/>
  <c r="U190" i="13"/>
  <c r="U189" i="13" s="1"/>
  <c r="Q190" i="13"/>
  <c r="T190" i="13" s="1"/>
  <c r="P190" i="13"/>
  <c r="O190" i="13"/>
  <c r="O189" i="13" s="1"/>
  <c r="N190" i="13"/>
  <c r="M190" i="13"/>
  <c r="M189" i="13" s="1"/>
  <c r="L190" i="13"/>
  <c r="K190" i="13"/>
  <c r="K189" i="13" s="1"/>
  <c r="J190" i="13"/>
  <c r="I190" i="13"/>
  <c r="I189" i="13" s="1"/>
  <c r="H190" i="13"/>
  <c r="F190" i="13"/>
  <c r="AA189" i="13"/>
  <c r="AA188" i="13"/>
  <c r="X188" i="13"/>
  <c r="W188" i="13"/>
  <c r="V188" i="13"/>
  <c r="U188" i="13"/>
  <c r="Q188" i="13"/>
  <c r="T188" i="13" s="1"/>
  <c r="P188" i="13"/>
  <c r="O188" i="13"/>
  <c r="N188" i="13"/>
  <c r="M188" i="13"/>
  <c r="L188" i="13"/>
  <c r="K188" i="13"/>
  <c r="J188" i="13"/>
  <c r="I188" i="13"/>
  <c r="H188" i="13"/>
  <c r="F188" i="13"/>
  <c r="AA187" i="13"/>
  <c r="X187" i="13"/>
  <c r="W187" i="13"/>
  <c r="V187" i="13"/>
  <c r="U187" i="13"/>
  <c r="Q187" i="13"/>
  <c r="T187" i="13" s="1"/>
  <c r="P187" i="13"/>
  <c r="O187" i="13"/>
  <c r="N187" i="13"/>
  <c r="M187" i="13"/>
  <c r="L187" i="13"/>
  <c r="K187" i="13"/>
  <c r="J187" i="13"/>
  <c r="I187" i="13"/>
  <c r="H187" i="13"/>
  <c r="F187" i="13"/>
  <c r="AA186" i="13"/>
  <c r="X186" i="13"/>
  <c r="X185" i="13" s="1"/>
  <c r="W186" i="13"/>
  <c r="V186" i="13"/>
  <c r="V185" i="13" s="1"/>
  <c r="U186" i="13"/>
  <c r="Q186" i="13"/>
  <c r="T186" i="13" s="1"/>
  <c r="P186" i="13"/>
  <c r="P185" i="13" s="1"/>
  <c r="O186" i="13"/>
  <c r="O185" i="13" s="1"/>
  <c r="N186" i="13"/>
  <c r="N185" i="13" s="1"/>
  <c r="M186" i="13"/>
  <c r="M185" i="13" s="1"/>
  <c r="L186" i="13"/>
  <c r="L185" i="13" s="1"/>
  <c r="K186" i="13"/>
  <c r="K185" i="13" s="1"/>
  <c r="J186" i="13"/>
  <c r="J185" i="13" s="1"/>
  <c r="I186" i="13"/>
  <c r="I185" i="13" s="1"/>
  <c r="H186" i="13"/>
  <c r="F186" i="13"/>
  <c r="AA185" i="13"/>
  <c r="AA184" i="13"/>
  <c r="X184" i="13"/>
  <c r="W184" i="13"/>
  <c r="V184" i="13"/>
  <c r="U184" i="13"/>
  <c r="Q184" i="13"/>
  <c r="T184" i="13" s="1"/>
  <c r="P184" i="13"/>
  <c r="O184" i="13"/>
  <c r="N184" i="13"/>
  <c r="M184" i="13"/>
  <c r="L184" i="13"/>
  <c r="K184" i="13"/>
  <c r="J184" i="13"/>
  <c r="I184" i="13"/>
  <c r="H184" i="13"/>
  <c r="F184" i="13"/>
  <c r="AA183" i="13"/>
  <c r="X183" i="13"/>
  <c r="W183" i="13"/>
  <c r="V183" i="13"/>
  <c r="U183" i="13"/>
  <c r="Q183" i="13"/>
  <c r="T183" i="13" s="1"/>
  <c r="P183" i="13"/>
  <c r="O183" i="13"/>
  <c r="N183" i="13"/>
  <c r="M183" i="13"/>
  <c r="L183" i="13"/>
  <c r="K183" i="13"/>
  <c r="J183" i="13"/>
  <c r="I183" i="13"/>
  <c r="H183" i="13"/>
  <c r="F183" i="13"/>
  <c r="AA182" i="13"/>
  <c r="X182" i="13"/>
  <c r="W182" i="13"/>
  <c r="W181" i="13" s="1"/>
  <c r="V182" i="13"/>
  <c r="U182" i="13"/>
  <c r="Q182" i="13"/>
  <c r="T182" i="13" s="1"/>
  <c r="P182" i="13"/>
  <c r="O182" i="13"/>
  <c r="O181" i="13" s="1"/>
  <c r="N182" i="13"/>
  <c r="M182" i="13"/>
  <c r="M181" i="13" s="1"/>
  <c r="L182" i="13"/>
  <c r="K182" i="13"/>
  <c r="K181" i="13" s="1"/>
  <c r="J182" i="13"/>
  <c r="I182" i="13"/>
  <c r="I181" i="13" s="1"/>
  <c r="H182" i="13"/>
  <c r="F182" i="13"/>
  <c r="AA181" i="13"/>
  <c r="S181" i="13"/>
  <c r="R181" i="13"/>
  <c r="AA180" i="13"/>
  <c r="X180" i="13"/>
  <c r="W180" i="13"/>
  <c r="W179" i="13" s="1"/>
  <c r="V180" i="13"/>
  <c r="V179" i="13" s="1"/>
  <c r="U180" i="13"/>
  <c r="U179" i="13" s="1"/>
  <c r="Q180" i="13"/>
  <c r="T180" i="13" s="1"/>
  <c r="P180" i="13"/>
  <c r="P179" i="13" s="1"/>
  <c r="O180" i="13"/>
  <c r="O179" i="13" s="1"/>
  <c r="N180" i="13"/>
  <c r="N179" i="13" s="1"/>
  <c r="M180" i="13"/>
  <c r="M179" i="13" s="1"/>
  <c r="L180" i="13"/>
  <c r="L179" i="13" s="1"/>
  <c r="K180" i="13"/>
  <c r="K179" i="13" s="1"/>
  <c r="J180" i="13"/>
  <c r="J179" i="13" s="1"/>
  <c r="I180" i="13"/>
  <c r="I179" i="13" s="1"/>
  <c r="H180" i="13"/>
  <c r="H179" i="13" s="1"/>
  <c r="F180" i="13"/>
  <c r="AA179" i="13"/>
  <c r="X179" i="13"/>
  <c r="AA178" i="13"/>
  <c r="X178" i="13"/>
  <c r="W178" i="13"/>
  <c r="V178" i="13"/>
  <c r="U178" i="13"/>
  <c r="Q178" i="13"/>
  <c r="T178" i="13" s="1"/>
  <c r="P178" i="13"/>
  <c r="O178" i="13"/>
  <c r="N178" i="13"/>
  <c r="M178" i="13"/>
  <c r="L178" i="13"/>
  <c r="K178" i="13"/>
  <c r="J178" i="13"/>
  <c r="I178" i="13"/>
  <c r="H178" i="13"/>
  <c r="F178" i="13"/>
  <c r="AA177" i="13"/>
  <c r="X177" i="13"/>
  <c r="W177" i="13"/>
  <c r="V177" i="13"/>
  <c r="U177" i="13"/>
  <c r="Q177" i="13"/>
  <c r="T177" i="13" s="1"/>
  <c r="P177" i="13"/>
  <c r="O177" i="13"/>
  <c r="N177" i="13"/>
  <c r="M177" i="13"/>
  <c r="L177" i="13"/>
  <c r="K177" i="13"/>
  <c r="J177" i="13"/>
  <c r="I177" i="13"/>
  <c r="H177" i="13"/>
  <c r="F177" i="13"/>
  <c r="AA176" i="13"/>
  <c r="X176" i="13"/>
  <c r="X175" i="13" s="1"/>
  <c r="W176" i="13"/>
  <c r="V176" i="13"/>
  <c r="V175" i="13" s="1"/>
  <c r="U176" i="13"/>
  <c r="Q176" i="13"/>
  <c r="T176" i="13" s="1"/>
  <c r="P176" i="13"/>
  <c r="O176" i="13"/>
  <c r="N176" i="13"/>
  <c r="M176" i="13"/>
  <c r="M175" i="13" s="1"/>
  <c r="L176" i="13"/>
  <c r="K176" i="13"/>
  <c r="J176" i="13"/>
  <c r="J175" i="13" s="1"/>
  <c r="I176" i="13"/>
  <c r="H176" i="13"/>
  <c r="F176" i="13"/>
  <c r="AA175" i="13"/>
  <c r="AA174" i="13"/>
  <c r="X174" i="13"/>
  <c r="W174" i="13"/>
  <c r="V174" i="13"/>
  <c r="U174" i="13"/>
  <c r="Q174" i="13"/>
  <c r="T174" i="13" s="1"/>
  <c r="P174" i="13"/>
  <c r="O174" i="13"/>
  <c r="N174" i="13"/>
  <c r="M174" i="13"/>
  <c r="L174" i="13"/>
  <c r="K174" i="13"/>
  <c r="J174" i="13"/>
  <c r="I174" i="13"/>
  <c r="H174" i="13"/>
  <c r="F174" i="13"/>
  <c r="AA173" i="13"/>
  <c r="X173" i="13"/>
  <c r="W173" i="13"/>
  <c r="W172" i="13" s="1"/>
  <c r="V173" i="13"/>
  <c r="U173" i="13"/>
  <c r="Q173" i="13"/>
  <c r="T173" i="13" s="1"/>
  <c r="P173" i="13"/>
  <c r="O173" i="13"/>
  <c r="O172" i="13" s="1"/>
  <c r="N173" i="13"/>
  <c r="M173" i="13"/>
  <c r="M172" i="13" s="1"/>
  <c r="L173" i="13"/>
  <c r="K173" i="13"/>
  <c r="K172" i="13" s="1"/>
  <c r="J173" i="13"/>
  <c r="I173" i="13"/>
  <c r="I172" i="13" s="1"/>
  <c r="H173" i="13"/>
  <c r="F173" i="13"/>
  <c r="AA172" i="13"/>
  <c r="AA171" i="13"/>
  <c r="X171" i="13"/>
  <c r="W171" i="13"/>
  <c r="V171" i="13"/>
  <c r="U171" i="13"/>
  <c r="Q171" i="13"/>
  <c r="T171" i="13" s="1"/>
  <c r="P171" i="13"/>
  <c r="O171" i="13"/>
  <c r="N171" i="13"/>
  <c r="M171" i="13"/>
  <c r="L171" i="13"/>
  <c r="K171" i="13"/>
  <c r="J171" i="13"/>
  <c r="I171" i="13"/>
  <c r="H171" i="13"/>
  <c r="F171" i="13"/>
  <c r="AA170" i="13"/>
  <c r="X170" i="13"/>
  <c r="W170" i="13"/>
  <c r="V170" i="13"/>
  <c r="U170" i="13"/>
  <c r="Q170" i="13"/>
  <c r="T170" i="13" s="1"/>
  <c r="P170" i="13"/>
  <c r="O170" i="13"/>
  <c r="N170" i="13"/>
  <c r="M170" i="13"/>
  <c r="L170" i="13"/>
  <c r="K170" i="13"/>
  <c r="J170" i="13"/>
  <c r="I170" i="13"/>
  <c r="H170" i="13"/>
  <c r="F170" i="13"/>
  <c r="AA169" i="13"/>
  <c r="X169" i="13"/>
  <c r="W169" i="13"/>
  <c r="V169" i="13"/>
  <c r="U169" i="13"/>
  <c r="Q169" i="13"/>
  <c r="T169" i="13" s="1"/>
  <c r="P169" i="13"/>
  <c r="O169" i="13"/>
  <c r="N169" i="13"/>
  <c r="M169" i="13"/>
  <c r="L169" i="13"/>
  <c r="K169" i="13"/>
  <c r="J169" i="13"/>
  <c r="I169" i="13"/>
  <c r="H169" i="13"/>
  <c r="F169" i="13"/>
  <c r="AA168" i="13"/>
  <c r="X168" i="13"/>
  <c r="W168" i="13"/>
  <c r="V168" i="13"/>
  <c r="U168" i="13"/>
  <c r="Q168" i="13"/>
  <c r="T168" i="13" s="1"/>
  <c r="P168" i="13"/>
  <c r="O168" i="13"/>
  <c r="N168" i="13"/>
  <c r="M168" i="13"/>
  <c r="L168" i="13"/>
  <c r="K168" i="13"/>
  <c r="J168" i="13"/>
  <c r="I168" i="13"/>
  <c r="H168" i="13"/>
  <c r="F168" i="13"/>
  <c r="AA167" i="13"/>
  <c r="U167" i="13"/>
  <c r="Q167" i="13"/>
  <c r="T167" i="13" s="1"/>
  <c r="P167" i="13"/>
  <c r="O167" i="13"/>
  <c r="N167" i="13"/>
  <c r="M167" i="13"/>
  <c r="L167" i="13"/>
  <c r="K167" i="13"/>
  <c r="J167" i="13"/>
  <c r="I167" i="13"/>
  <c r="H167" i="13"/>
  <c r="F167" i="13"/>
  <c r="AA163" i="13"/>
  <c r="X163" i="13"/>
  <c r="W163" i="13"/>
  <c r="V163" i="13"/>
  <c r="U163" i="13"/>
  <c r="Q163" i="13"/>
  <c r="T163" i="13" s="1"/>
  <c r="P163" i="13"/>
  <c r="O163" i="13"/>
  <c r="N163" i="13"/>
  <c r="M163" i="13"/>
  <c r="L163" i="13"/>
  <c r="K163" i="13"/>
  <c r="J163" i="13"/>
  <c r="I163" i="13"/>
  <c r="H163" i="13"/>
  <c r="F163" i="13"/>
  <c r="AA161" i="13"/>
  <c r="X161" i="13"/>
  <c r="W161" i="13"/>
  <c r="V161" i="13"/>
  <c r="U161" i="13"/>
  <c r="Q161" i="13"/>
  <c r="T161" i="13" s="1"/>
  <c r="P161" i="13"/>
  <c r="O161" i="13"/>
  <c r="N161" i="13"/>
  <c r="M161" i="13"/>
  <c r="L161" i="13"/>
  <c r="K161" i="13"/>
  <c r="J161" i="13"/>
  <c r="I161" i="13"/>
  <c r="H161" i="13"/>
  <c r="F161" i="13"/>
  <c r="AA160" i="13"/>
  <c r="X160" i="13"/>
  <c r="W160" i="13"/>
  <c r="V160" i="13"/>
  <c r="U160" i="13"/>
  <c r="Q160" i="13"/>
  <c r="T160" i="13" s="1"/>
  <c r="P160" i="13"/>
  <c r="O160" i="13"/>
  <c r="N160" i="13"/>
  <c r="M160" i="13"/>
  <c r="L160" i="13"/>
  <c r="K160" i="13"/>
  <c r="J160" i="13"/>
  <c r="I160" i="13"/>
  <c r="H160" i="13"/>
  <c r="F160" i="13"/>
  <c r="AA159" i="13"/>
  <c r="X159" i="13"/>
  <c r="W159" i="13"/>
  <c r="W158" i="13" s="1"/>
  <c r="V159" i="13"/>
  <c r="U159" i="13"/>
  <c r="U158" i="13" s="1"/>
  <c r="Q159" i="13"/>
  <c r="T159" i="13" s="1"/>
  <c r="P159" i="13"/>
  <c r="O159" i="13"/>
  <c r="N159" i="13"/>
  <c r="M159" i="13"/>
  <c r="M158" i="13" s="1"/>
  <c r="L159" i="13"/>
  <c r="K159" i="13"/>
  <c r="J159" i="13"/>
  <c r="I159" i="13"/>
  <c r="I158" i="13" s="1"/>
  <c r="H159" i="13"/>
  <c r="F159" i="13"/>
  <c r="AA158" i="13"/>
  <c r="AA157" i="13"/>
  <c r="X157" i="13"/>
  <c r="W157" i="13"/>
  <c r="V157" i="13"/>
  <c r="U157" i="13"/>
  <c r="Q157" i="13"/>
  <c r="T157" i="13" s="1"/>
  <c r="P157" i="13"/>
  <c r="O157" i="13"/>
  <c r="N157" i="13"/>
  <c r="M157" i="13"/>
  <c r="L157" i="13"/>
  <c r="K157" i="13"/>
  <c r="J157" i="13"/>
  <c r="I157" i="13"/>
  <c r="H157" i="13"/>
  <c r="F157" i="13"/>
  <c r="AA156" i="13"/>
  <c r="X156" i="13"/>
  <c r="W156" i="13"/>
  <c r="V156" i="13"/>
  <c r="U156" i="13"/>
  <c r="Q156" i="13"/>
  <c r="T156" i="13" s="1"/>
  <c r="P156" i="13"/>
  <c r="O156" i="13"/>
  <c r="N156" i="13"/>
  <c r="M156" i="13"/>
  <c r="L156" i="13"/>
  <c r="K156" i="13"/>
  <c r="J156" i="13"/>
  <c r="I156" i="13"/>
  <c r="H156" i="13"/>
  <c r="F156" i="13"/>
  <c r="AA155" i="13"/>
  <c r="X155" i="13"/>
  <c r="W155" i="13"/>
  <c r="W154" i="13" s="1"/>
  <c r="V155" i="13"/>
  <c r="U155" i="13"/>
  <c r="U154" i="13" s="1"/>
  <c r="Q155" i="13"/>
  <c r="T155" i="13" s="1"/>
  <c r="T154" i="13" s="1"/>
  <c r="P155" i="13"/>
  <c r="O155" i="13"/>
  <c r="O154" i="13" s="1"/>
  <c r="N155" i="13"/>
  <c r="M155" i="13"/>
  <c r="M154" i="13" s="1"/>
  <c r="L155" i="13"/>
  <c r="K155" i="13"/>
  <c r="K154" i="13" s="1"/>
  <c r="J155" i="13"/>
  <c r="I155" i="13"/>
  <c r="I154" i="13" s="1"/>
  <c r="H155" i="13"/>
  <c r="F155" i="13"/>
  <c r="AA154" i="13"/>
  <c r="S154" i="13"/>
  <c r="R154" i="13"/>
  <c r="AA153" i="13"/>
  <c r="X153" i="13"/>
  <c r="W153" i="13"/>
  <c r="V153" i="13"/>
  <c r="U153" i="13"/>
  <c r="Q153" i="13"/>
  <c r="T153" i="13" s="1"/>
  <c r="P153" i="13"/>
  <c r="O153" i="13"/>
  <c r="N153" i="13"/>
  <c r="M153" i="13"/>
  <c r="L153" i="13"/>
  <c r="K153" i="13"/>
  <c r="J153" i="13"/>
  <c r="I153" i="13"/>
  <c r="H153" i="13"/>
  <c r="F153" i="13"/>
  <c r="AA152" i="13"/>
  <c r="X152" i="13"/>
  <c r="W152" i="13"/>
  <c r="W151" i="13" s="1"/>
  <c r="V152" i="13"/>
  <c r="U152" i="13"/>
  <c r="Q152" i="13"/>
  <c r="T152" i="13" s="1"/>
  <c r="P152" i="13"/>
  <c r="O152" i="13"/>
  <c r="O151" i="13" s="1"/>
  <c r="N152" i="13"/>
  <c r="M152" i="13"/>
  <c r="M151" i="13" s="1"/>
  <c r="L152" i="13"/>
  <c r="K152" i="13"/>
  <c r="K151" i="13" s="1"/>
  <c r="J152" i="13"/>
  <c r="I152" i="13"/>
  <c r="I151" i="13" s="1"/>
  <c r="H152" i="13"/>
  <c r="F152" i="13"/>
  <c r="AA151" i="13"/>
  <c r="S151" i="13"/>
  <c r="R151" i="13"/>
  <c r="AA150" i="13"/>
  <c r="X150" i="13"/>
  <c r="W150" i="13"/>
  <c r="V150" i="13"/>
  <c r="U150" i="13"/>
  <c r="Q150" i="13"/>
  <c r="T150" i="13" s="1"/>
  <c r="P150" i="13"/>
  <c r="O150" i="13"/>
  <c r="N150" i="13"/>
  <c r="M150" i="13"/>
  <c r="L150" i="13"/>
  <c r="K150" i="13"/>
  <c r="J150" i="13"/>
  <c r="I150" i="13"/>
  <c r="H150" i="13"/>
  <c r="F150" i="13"/>
  <c r="AA149" i="13"/>
  <c r="X149" i="13"/>
  <c r="W149" i="13"/>
  <c r="V149" i="13"/>
  <c r="U149" i="13"/>
  <c r="Q149" i="13"/>
  <c r="T149" i="13" s="1"/>
  <c r="P149" i="13"/>
  <c r="O149" i="13"/>
  <c r="N149" i="13"/>
  <c r="M149" i="13"/>
  <c r="L149" i="13"/>
  <c r="K149" i="13"/>
  <c r="J149" i="13"/>
  <c r="I149" i="13"/>
  <c r="H149" i="13"/>
  <c r="F149" i="13"/>
  <c r="AA148" i="13"/>
  <c r="X148" i="13"/>
  <c r="W148" i="13"/>
  <c r="V148" i="13"/>
  <c r="U148" i="13"/>
  <c r="U147" i="13" s="1"/>
  <c r="Q148" i="13"/>
  <c r="T148" i="13" s="1"/>
  <c r="P148" i="13"/>
  <c r="P147" i="13" s="1"/>
  <c r="O148" i="13"/>
  <c r="N148" i="13"/>
  <c r="N147" i="13" s="1"/>
  <c r="M148" i="13"/>
  <c r="L148" i="13"/>
  <c r="K148" i="13"/>
  <c r="J148" i="13"/>
  <c r="J147" i="13" s="1"/>
  <c r="I148" i="13"/>
  <c r="H148" i="13"/>
  <c r="F148" i="13"/>
  <c r="AA147" i="13"/>
  <c r="AA146" i="13"/>
  <c r="X146" i="13"/>
  <c r="W146" i="13"/>
  <c r="V146" i="13"/>
  <c r="U146" i="13"/>
  <c r="Q146" i="13"/>
  <c r="T146" i="13" s="1"/>
  <c r="P146" i="13"/>
  <c r="O146" i="13"/>
  <c r="N146" i="13"/>
  <c r="M146" i="13"/>
  <c r="L146" i="13"/>
  <c r="K146" i="13"/>
  <c r="J146" i="13"/>
  <c r="I146" i="13"/>
  <c r="H146" i="13"/>
  <c r="F146" i="13"/>
  <c r="AA145" i="13"/>
  <c r="X145" i="13"/>
  <c r="X144" i="13" s="1"/>
  <c r="W145" i="13"/>
  <c r="V145" i="13"/>
  <c r="U145" i="13"/>
  <c r="Q145" i="13"/>
  <c r="T145" i="13" s="1"/>
  <c r="P145" i="13"/>
  <c r="P144" i="13" s="1"/>
  <c r="O145" i="13"/>
  <c r="O144" i="13" s="1"/>
  <c r="N145" i="13"/>
  <c r="N144" i="13" s="1"/>
  <c r="M145" i="13"/>
  <c r="M144" i="13" s="1"/>
  <c r="L145" i="13"/>
  <c r="L144" i="13" s="1"/>
  <c r="K145" i="13"/>
  <c r="K144" i="13" s="1"/>
  <c r="J145" i="13"/>
  <c r="J144" i="13" s="1"/>
  <c r="I145" i="13"/>
  <c r="I144" i="13" s="1"/>
  <c r="H145" i="13"/>
  <c r="H144" i="13" s="1"/>
  <c r="F145" i="13"/>
  <c r="AA144" i="13"/>
  <c r="S144" i="13"/>
  <c r="R144" i="13"/>
  <c r="AA143" i="13"/>
  <c r="X143" i="13"/>
  <c r="W143" i="13"/>
  <c r="V143" i="13"/>
  <c r="U143" i="13"/>
  <c r="Q143" i="13"/>
  <c r="T143" i="13" s="1"/>
  <c r="P143" i="13"/>
  <c r="O143" i="13"/>
  <c r="N143" i="13"/>
  <c r="M143" i="13"/>
  <c r="L143" i="13"/>
  <c r="K143" i="13"/>
  <c r="J143" i="13"/>
  <c r="I143" i="13"/>
  <c r="H143" i="13"/>
  <c r="F143" i="13"/>
  <c r="AA142" i="13"/>
  <c r="X142" i="13"/>
  <c r="W142" i="13"/>
  <c r="V142" i="13"/>
  <c r="U142" i="13"/>
  <c r="Q142" i="13"/>
  <c r="T142" i="13" s="1"/>
  <c r="P142" i="13"/>
  <c r="O142" i="13"/>
  <c r="N142" i="13"/>
  <c r="L142" i="13"/>
  <c r="K142" i="13"/>
  <c r="J142" i="13"/>
  <c r="I142" i="13"/>
  <c r="H142" i="13"/>
  <c r="F142" i="13"/>
  <c r="M142" i="13"/>
  <c r="AA141" i="13"/>
  <c r="X141" i="13"/>
  <c r="W141" i="13"/>
  <c r="U141" i="13"/>
  <c r="Q141" i="13"/>
  <c r="T141" i="13" s="1"/>
  <c r="P141" i="13"/>
  <c r="O141" i="13"/>
  <c r="N141" i="13"/>
  <c r="M141" i="13"/>
  <c r="L141" i="13"/>
  <c r="K141" i="13"/>
  <c r="J141" i="13"/>
  <c r="I141" i="13"/>
  <c r="H141" i="13"/>
  <c r="F141" i="13"/>
  <c r="V141" i="13"/>
  <c r="AA140" i="13"/>
  <c r="S140" i="13"/>
  <c r="R140" i="13"/>
  <c r="AA139" i="13"/>
  <c r="X139" i="13"/>
  <c r="W139" i="13"/>
  <c r="V139" i="13"/>
  <c r="U139" i="13"/>
  <c r="Q139" i="13"/>
  <c r="T139" i="13" s="1"/>
  <c r="P139" i="13"/>
  <c r="O139" i="13"/>
  <c r="N139" i="13"/>
  <c r="M139" i="13"/>
  <c r="L139" i="13"/>
  <c r="K139" i="13"/>
  <c r="J139" i="13"/>
  <c r="I139" i="13"/>
  <c r="H139" i="13"/>
  <c r="F139" i="13"/>
  <c r="AA138" i="13"/>
  <c r="X138" i="13"/>
  <c r="W138" i="13"/>
  <c r="V138" i="13"/>
  <c r="U138" i="13"/>
  <c r="Q138" i="13"/>
  <c r="T138" i="13" s="1"/>
  <c r="P138" i="13"/>
  <c r="O138" i="13"/>
  <c r="N138" i="13"/>
  <c r="M138" i="13"/>
  <c r="L138" i="13"/>
  <c r="K138" i="13"/>
  <c r="J138" i="13"/>
  <c r="I138" i="13"/>
  <c r="I137" i="13" s="1"/>
  <c r="H138" i="13"/>
  <c r="F138" i="13"/>
  <c r="AA137" i="13"/>
  <c r="S137" i="13"/>
  <c r="R137" i="13"/>
  <c r="AA136" i="13"/>
  <c r="X136" i="13"/>
  <c r="W136" i="13"/>
  <c r="V136" i="13"/>
  <c r="U136" i="13"/>
  <c r="Q136" i="13"/>
  <c r="T136" i="13" s="1"/>
  <c r="P136" i="13"/>
  <c r="O136" i="13"/>
  <c r="N136" i="13"/>
  <c r="M136" i="13"/>
  <c r="L136" i="13"/>
  <c r="K136" i="13"/>
  <c r="J136" i="13"/>
  <c r="I136" i="13"/>
  <c r="H136" i="13"/>
  <c r="F136" i="13"/>
  <c r="AA135" i="13"/>
  <c r="X135" i="13"/>
  <c r="W135" i="13"/>
  <c r="V135" i="13"/>
  <c r="U135" i="13"/>
  <c r="Q135" i="13"/>
  <c r="T135" i="13" s="1"/>
  <c r="P135" i="13"/>
  <c r="O135" i="13"/>
  <c r="N135" i="13"/>
  <c r="M135" i="13"/>
  <c r="L135" i="13"/>
  <c r="K135" i="13"/>
  <c r="J135" i="13"/>
  <c r="I135" i="13"/>
  <c r="H135" i="13"/>
  <c r="F135" i="13"/>
  <c r="AA134" i="13"/>
  <c r="X134" i="13"/>
  <c r="X133" i="13" s="1"/>
  <c r="W134" i="13"/>
  <c r="V134" i="13"/>
  <c r="U134" i="13"/>
  <c r="Q134" i="13"/>
  <c r="T134" i="13" s="1"/>
  <c r="P134" i="13"/>
  <c r="O134" i="13"/>
  <c r="O133" i="13" s="1"/>
  <c r="N134" i="13"/>
  <c r="M134" i="13"/>
  <c r="M133" i="13" s="1"/>
  <c r="L134" i="13"/>
  <c r="L133" i="13" s="1"/>
  <c r="K134" i="13"/>
  <c r="K133" i="13" s="1"/>
  <c r="J134" i="13"/>
  <c r="I134" i="13"/>
  <c r="I133" i="13" s="1"/>
  <c r="H134" i="13"/>
  <c r="F134" i="13"/>
  <c r="AA133" i="13"/>
  <c r="S133" i="13"/>
  <c r="R133" i="13"/>
  <c r="AA132" i="13"/>
  <c r="X132" i="13"/>
  <c r="W132" i="13"/>
  <c r="V132" i="13"/>
  <c r="U132" i="13"/>
  <c r="Q132" i="13"/>
  <c r="T132" i="13" s="1"/>
  <c r="P132" i="13"/>
  <c r="O132" i="13"/>
  <c r="N132" i="13"/>
  <c r="M132" i="13"/>
  <c r="L132" i="13"/>
  <c r="K132" i="13"/>
  <c r="J132" i="13"/>
  <c r="I132" i="13"/>
  <c r="H132" i="13"/>
  <c r="F132" i="13"/>
  <c r="AA131" i="13"/>
  <c r="X131" i="13"/>
  <c r="W131" i="13"/>
  <c r="V131" i="13"/>
  <c r="U131" i="13"/>
  <c r="Q131" i="13"/>
  <c r="T131" i="13" s="1"/>
  <c r="P131" i="13"/>
  <c r="O131" i="13"/>
  <c r="N131" i="13"/>
  <c r="M131" i="13"/>
  <c r="L131" i="13"/>
  <c r="K131" i="13"/>
  <c r="J131" i="13"/>
  <c r="I131" i="13"/>
  <c r="H131" i="13"/>
  <c r="F131" i="13"/>
  <c r="AA130" i="13"/>
  <c r="X130" i="13"/>
  <c r="W130" i="13"/>
  <c r="V130" i="13"/>
  <c r="U130" i="13"/>
  <c r="Q130" i="13"/>
  <c r="T130" i="13" s="1"/>
  <c r="P130" i="13"/>
  <c r="O130" i="13"/>
  <c r="O129" i="13" s="1"/>
  <c r="N130" i="13"/>
  <c r="M130" i="13"/>
  <c r="M129" i="13" s="1"/>
  <c r="L130" i="13"/>
  <c r="K130" i="13"/>
  <c r="J130" i="13"/>
  <c r="I130" i="13"/>
  <c r="I129" i="13" s="1"/>
  <c r="H130" i="13"/>
  <c r="F130" i="13"/>
  <c r="AA129" i="13"/>
  <c r="S129" i="13"/>
  <c r="R129" i="13"/>
  <c r="K129" i="13"/>
  <c r="AA128" i="13"/>
  <c r="X128" i="13"/>
  <c r="W128" i="13"/>
  <c r="V128" i="13"/>
  <c r="U128" i="13"/>
  <c r="Q128" i="13"/>
  <c r="T128" i="13" s="1"/>
  <c r="P128" i="13"/>
  <c r="O128" i="13"/>
  <c r="N128" i="13"/>
  <c r="M128" i="13"/>
  <c r="L128" i="13"/>
  <c r="K128" i="13"/>
  <c r="J128" i="13"/>
  <c r="I128" i="13"/>
  <c r="H128" i="13"/>
  <c r="F128" i="13"/>
  <c r="AA127" i="13"/>
  <c r="X127" i="13"/>
  <c r="W127" i="13"/>
  <c r="V127" i="13"/>
  <c r="U127" i="13"/>
  <c r="Q127" i="13"/>
  <c r="T127" i="13" s="1"/>
  <c r="P127" i="13"/>
  <c r="O127" i="13"/>
  <c r="N127" i="13"/>
  <c r="M127" i="13"/>
  <c r="L127" i="13"/>
  <c r="K127" i="13"/>
  <c r="J127" i="13"/>
  <c r="I127" i="13"/>
  <c r="H127" i="13"/>
  <c r="F127" i="13"/>
  <c r="AA126" i="13"/>
  <c r="X126" i="13"/>
  <c r="W126" i="13"/>
  <c r="V126" i="13"/>
  <c r="U126" i="13"/>
  <c r="Q126" i="13"/>
  <c r="T126" i="13" s="1"/>
  <c r="P126" i="13"/>
  <c r="O126" i="13"/>
  <c r="N126" i="13"/>
  <c r="M126" i="13"/>
  <c r="L126" i="13"/>
  <c r="K126" i="13"/>
  <c r="J126" i="13"/>
  <c r="I126" i="13"/>
  <c r="H126" i="13"/>
  <c r="F126" i="13"/>
  <c r="AA125" i="13"/>
  <c r="X125" i="13"/>
  <c r="W125" i="13"/>
  <c r="V125" i="13"/>
  <c r="U125" i="13"/>
  <c r="Q125" i="13"/>
  <c r="T125" i="13" s="1"/>
  <c r="P125" i="13"/>
  <c r="O125" i="13"/>
  <c r="N125" i="13"/>
  <c r="M125" i="13"/>
  <c r="L125" i="13"/>
  <c r="K125" i="13"/>
  <c r="J125" i="13"/>
  <c r="I125" i="13"/>
  <c r="H125" i="13"/>
  <c r="F125" i="13"/>
  <c r="AA124" i="13"/>
  <c r="X124" i="13"/>
  <c r="W124" i="13"/>
  <c r="V124" i="13"/>
  <c r="U124" i="13"/>
  <c r="Q124" i="13"/>
  <c r="T124" i="13" s="1"/>
  <c r="P124" i="13"/>
  <c r="P123" i="13" s="1"/>
  <c r="O124" i="13"/>
  <c r="N124" i="13"/>
  <c r="M124" i="13"/>
  <c r="L124" i="13"/>
  <c r="L123" i="13" s="1"/>
  <c r="K124" i="13"/>
  <c r="J124" i="13"/>
  <c r="I124" i="13"/>
  <c r="H124" i="13"/>
  <c r="H123" i="13" s="1"/>
  <c r="F124" i="13"/>
  <c r="AA123" i="13"/>
  <c r="S123" i="13"/>
  <c r="R123" i="13"/>
  <c r="X122" i="13"/>
  <c r="W122" i="13"/>
  <c r="V122" i="13"/>
  <c r="U122" i="13"/>
  <c r="Q122" i="13"/>
  <c r="T122" i="13" s="1"/>
  <c r="P122" i="13"/>
  <c r="O122" i="13"/>
  <c r="N122" i="13"/>
  <c r="M122" i="13"/>
  <c r="L122" i="13"/>
  <c r="K122" i="13"/>
  <c r="J122" i="13"/>
  <c r="I122" i="13"/>
  <c r="H122" i="13"/>
  <c r="F122" i="13"/>
  <c r="AA121" i="13"/>
  <c r="X121" i="13"/>
  <c r="W121" i="13"/>
  <c r="V121" i="13"/>
  <c r="U121" i="13"/>
  <c r="Q121" i="13"/>
  <c r="T121" i="13" s="1"/>
  <c r="P121" i="13"/>
  <c r="O121" i="13"/>
  <c r="N121" i="13"/>
  <c r="M121" i="13"/>
  <c r="L121" i="13"/>
  <c r="K121" i="13"/>
  <c r="J121" i="13"/>
  <c r="I121" i="13"/>
  <c r="H121" i="13"/>
  <c r="F121" i="13"/>
  <c r="AA120" i="13"/>
  <c r="X120" i="13"/>
  <c r="W120" i="13"/>
  <c r="V120" i="13"/>
  <c r="U120" i="13"/>
  <c r="Q120" i="13"/>
  <c r="T120" i="13" s="1"/>
  <c r="P120" i="13"/>
  <c r="O120" i="13"/>
  <c r="N120" i="13"/>
  <c r="M120" i="13"/>
  <c r="L120" i="13"/>
  <c r="K120" i="13"/>
  <c r="J120" i="13"/>
  <c r="I120" i="13"/>
  <c r="H120" i="13"/>
  <c r="F120" i="13"/>
  <c r="AA119" i="13"/>
  <c r="X119" i="13"/>
  <c r="W119" i="13"/>
  <c r="V119" i="13"/>
  <c r="U119" i="13"/>
  <c r="Q119" i="13"/>
  <c r="T119" i="13" s="1"/>
  <c r="P119" i="13"/>
  <c r="O119" i="13"/>
  <c r="N119" i="13"/>
  <c r="M119" i="13"/>
  <c r="L119" i="13"/>
  <c r="K119" i="13"/>
  <c r="J119" i="13"/>
  <c r="I119" i="13"/>
  <c r="H119" i="13"/>
  <c r="F119" i="13"/>
  <c r="AA118" i="13"/>
  <c r="X118" i="13"/>
  <c r="W118" i="13"/>
  <c r="V118" i="13"/>
  <c r="U118" i="13"/>
  <c r="U117" i="13" s="1"/>
  <c r="U116" i="13" s="1"/>
  <c r="Q118" i="13"/>
  <c r="T118" i="13" s="1"/>
  <c r="P118" i="13"/>
  <c r="O118" i="13"/>
  <c r="O117" i="13" s="1"/>
  <c r="O116" i="13" s="1"/>
  <c r="N118" i="13"/>
  <c r="M118" i="13"/>
  <c r="L118" i="13"/>
  <c r="K118" i="13"/>
  <c r="K117" i="13" s="1"/>
  <c r="J118" i="13"/>
  <c r="I118" i="13"/>
  <c r="I117" i="13" s="1"/>
  <c r="H118" i="13"/>
  <c r="F118" i="13"/>
  <c r="AA117" i="13"/>
  <c r="S117" i="13"/>
  <c r="S116" i="13" s="1"/>
  <c r="R117" i="13"/>
  <c r="R116" i="13" s="1"/>
  <c r="AA116" i="13"/>
  <c r="AA115" i="13"/>
  <c r="X115" i="13"/>
  <c r="W115" i="13"/>
  <c r="V115" i="13"/>
  <c r="U115" i="13"/>
  <c r="Q115" i="13"/>
  <c r="T115" i="13" s="1"/>
  <c r="P115" i="13"/>
  <c r="O115" i="13"/>
  <c r="N115" i="13"/>
  <c r="M115" i="13"/>
  <c r="L115" i="13"/>
  <c r="K115" i="13"/>
  <c r="J115" i="13"/>
  <c r="I115" i="13"/>
  <c r="H115" i="13"/>
  <c r="F115" i="13"/>
  <c r="AA114" i="13"/>
  <c r="X114" i="13"/>
  <c r="X113" i="13" s="1"/>
  <c r="W114" i="13"/>
  <c r="V114" i="13"/>
  <c r="V113" i="13" s="1"/>
  <c r="U114" i="13"/>
  <c r="U113" i="13" s="1"/>
  <c r="Q114" i="13"/>
  <c r="T114" i="13" s="1"/>
  <c r="P114" i="13"/>
  <c r="O114" i="13"/>
  <c r="O113" i="13" s="1"/>
  <c r="N114" i="13"/>
  <c r="M114" i="13"/>
  <c r="M113" i="13" s="1"/>
  <c r="L114" i="13"/>
  <c r="K114" i="13"/>
  <c r="K113" i="13" s="1"/>
  <c r="J114" i="13"/>
  <c r="I114" i="13"/>
  <c r="I113" i="13" s="1"/>
  <c r="H114" i="13"/>
  <c r="F114" i="13"/>
  <c r="AA113" i="13"/>
  <c r="S113" i="13"/>
  <c r="R113" i="13"/>
  <c r="AA112" i="13"/>
  <c r="X112" i="13"/>
  <c r="W112" i="13"/>
  <c r="V112" i="13"/>
  <c r="U112" i="13"/>
  <c r="Q112" i="13"/>
  <c r="T112" i="13" s="1"/>
  <c r="P112" i="13"/>
  <c r="O112" i="13"/>
  <c r="N112" i="13"/>
  <c r="M112" i="13"/>
  <c r="L112" i="13"/>
  <c r="K112" i="13"/>
  <c r="J112" i="13"/>
  <c r="I112" i="13"/>
  <c r="H112" i="13"/>
  <c r="F112" i="13"/>
  <c r="AA111" i="13"/>
  <c r="X111" i="13"/>
  <c r="W111" i="13"/>
  <c r="V111" i="13"/>
  <c r="U111" i="13"/>
  <c r="Q111" i="13"/>
  <c r="T111" i="13" s="1"/>
  <c r="P111" i="13"/>
  <c r="O111" i="13"/>
  <c r="N111" i="13"/>
  <c r="M111" i="13"/>
  <c r="L111" i="13"/>
  <c r="K111" i="13"/>
  <c r="J111" i="13"/>
  <c r="I111" i="13"/>
  <c r="H111" i="13"/>
  <c r="F111" i="13"/>
  <c r="AA110" i="13"/>
  <c r="X110" i="13"/>
  <c r="W110" i="13"/>
  <c r="V110" i="13"/>
  <c r="V109" i="13" s="1"/>
  <c r="U110" i="13"/>
  <c r="Q110" i="13"/>
  <c r="T110" i="13" s="1"/>
  <c r="P110" i="13"/>
  <c r="P109" i="13" s="1"/>
  <c r="O110" i="13"/>
  <c r="N110" i="13"/>
  <c r="N109" i="13" s="1"/>
  <c r="M110" i="13"/>
  <c r="L110" i="13"/>
  <c r="L109" i="13" s="1"/>
  <c r="K110" i="13"/>
  <c r="J110" i="13"/>
  <c r="I110" i="13"/>
  <c r="H110" i="13"/>
  <c r="F110" i="13"/>
  <c r="F109" i="13" s="1"/>
  <c r="AA109" i="13"/>
  <c r="S109" i="13"/>
  <c r="R109" i="13"/>
  <c r="AA108" i="13"/>
  <c r="X108" i="13"/>
  <c r="W108" i="13"/>
  <c r="V108" i="13"/>
  <c r="U108" i="13"/>
  <c r="Q108" i="13"/>
  <c r="T108" i="13" s="1"/>
  <c r="P108" i="13"/>
  <c r="O108" i="13"/>
  <c r="N108" i="13"/>
  <c r="M108" i="13"/>
  <c r="L108" i="13"/>
  <c r="K108" i="13"/>
  <c r="J108" i="13"/>
  <c r="I108" i="13"/>
  <c r="H108" i="13"/>
  <c r="F108" i="13"/>
  <c r="AA107" i="13"/>
  <c r="X107" i="13"/>
  <c r="X106" i="13" s="1"/>
  <c r="W107" i="13"/>
  <c r="V107" i="13"/>
  <c r="V106" i="13" s="1"/>
  <c r="U107" i="13"/>
  <c r="Q107" i="13"/>
  <c r="T107" i="13" s="1"/>
  <c r="P107" i="13"/>
  <c r="O107" i="13"/>
  <c r="O106" i="13" s="1"/>
  <c r="N107" i="13"/>
  <c r="N106" i="13" s="1"/>
  <c r="M107" i="13"/>
  <c r="M106" i="13" s="1"/>
  <c r="L107" i="13"/>
  <c r="L106" i="13" s="1"/>
  <c r="K107" i="13"/>
  <c r="K106" i="13" s="1"/>
  <c r="J107" i="13"/>
  <c r="J106" i="13" s="1"/>
  <c r="I107" i="13"/>
  <c r="I106" i="13" s="1"/>
  <c r="H107" i="13"/>
  <c r="F107" i="13"/>
  <c r="F106" i="13" s="1"/>
  <c r="AA106" i="13"/>
  <c r="S106" i="13"/>
  <c r="R106" i="13"/>
  <c r="AA105" i="13"/>
  <c r="X105" i="13"/>
  <c r="W105" i="13"/>
  <c r="V105" i="13"/>
  <c r="U105" i="13"/>
  <c r="Q105" i="13"/>
  <c r="P105" i="13"/>
  <c r="O105" i="13"/>
  <c r="N105" i="13"/>
  <c r="M105" i="13"/>
  <c r="L105" i="13"/>
  <c r="K105" i="13"/>
  <c r="J105" i="13"/>
  <c r="I105" i="13"/>
  <c r="H105" i="13"/>
  <c r="F105" i="13"/>
  <c r="AA104" i="13"/>
  <c r="X104" i="13"/>
  <c r="X103" i="13" s="1"/>
  <c r="W104" i="13"/>
  <c r="W103" i="13" s="1"/>
  <c r="V104" i="13"/>
  <c r="V103" i="13" s="1"/>
  <c r="U104" i="13"/>
  <c r="U103" i="13" s="1"/>
  <c r="Q104" i="13"/>
  <c r="T104" i="13" s="1"/>
  <c r="P104" i="13"/>
  <c r="O104" i="13"/>
  <c r="O103" i="13" s="1"/>
  <c r="N104" i="13"/>
  <c r="M104" i="13"/>
  <c r="M103" i="13" s="1"/>
  <c r="L104" i="13"/>
  <c r="K104" i="13"/>
  <c r="K103" i="13" s="1"/>
  <c r="J104" i="13"/>
  <c r="I104" i="13"/>
  <c r="I103" i="13" s="1"/>
  <c r="H104" i="13"/>
  <c r="F104" i="13"/>
  <c r="AA103" i="13"/>
  <c r="S103" i="13"/>
  <c r="AA102" i="13"/>
  <c r="X102" i="13"/>
  <c r="W102" i="13"/>
  <c r="V102" i="13"/>
  <c r="U102" i="13"/>
  <c r="Q102" i="13"/>
  <c r="S102" i="13" s="1"/>
  <c r="P102" i="13"/>
  <c r="O102" i="13"/>
  <c r="N102" i="13"/>
  <c r="M102" i="13"/>
  <c r="L102" i="13"/>
  <c r="K102" i="13"/>
  <c r="J102" i="13"/>
  <c r="I102" i="13"/>
  <c r="H102" i="13"/>
  <c r="F102" i="13"/>
  <c r="AA101" i="13"/>
  <c r="X101" i="13"/>
  <c r="W101" i="13"/>
  <c r="V101" i="13"/>
  <c r="U101" i="13"/>
  <c r="Q101" i="13"/>
  <c r="S101" i="13" s="1"/>
  <c r="P101" i="13"/>
  <c r="O101" i="13"/>
  <c r="N101" i="13"/>
  <c r="M101" i="13"/>
  <c r="L101" i="13"/>
  <c r="K101" i="13"/>
  <c r="J101" i="13"/>
  <c r="I101" i="13"/>
  <c r="H101" i="13"/>
  <c r="F101" i="13"/>
  <c r="AA100" i="13"/>
  <c r="X100" i="13"/>
  <c r="W100" i="13"/>
  <c r="V100" i="13"/>
  <c r="U100" i="13"/>
  <c r="Q100" i="13"/>
  <c r="S100" i="13" s="1"/>
  <c r="P100" i="13"/>
  <c r="O100" i="13"/>
  <c r="N100" i="13"/>
  <c r="M100" i="13"/>
  <c r="L100" i="13"/>
  <c r="K100" i="13"/>
  <c r="J100" i="13"/>
  <c r="I100" i="13"/>
  <c r="H100" i="13"/>
  <c r="F100" i="13"/>
  <c r="AA99" i="13"/>
  <c r="X99" i="13"/>
  <c r="W99" i="13"/>
  <c r="W98" i="13" s="1"/>
  <c r="V99" i="13"/>
  <c r="U99" i="13"/>
  <c r="U98" i="13" s="1"/>
  <c r="Q99" i="13"/>
  <c r="T99" i="13" s="1"/>
  <c r="P99" i="13"/>
  <c r="P98" i="13" s="1"/>
  <c r="O99" i="13"/>
  <c r="N99" i="13"/>
  <c r="N98" i="13" s="1"/>
  <c r="M99" i="13"/>
  <c r="L99" i="13"/>
  <c r="L98" i="13" s="1"/>
  <c r="K99" i="13"/>
  <c r="J99" i="13"/>
  <c r="J98" i="13" s="1"/>
  <c r="I99" i="13"/>
  <c r="H99" i="13"/>
  <c r="F99" i="13"/>
  <c r="AA98" i="13"/>
  <c r="R98" i="13"/>
  <c r="AA97" i="13"/>
  <c r="AC96" i="13"/>
  <c r="AC95" i="13" s="1"/>
  <c r="AB96" i="13"/>
  <c r="AB95" i="13" s="1"/>
  <c r="Z96" i="13"/>
  <c r="Z95" i="13" s="1"/>
  <c r="AA94" i="13"/>
  <c r="E94" i="13" s="1"/>
  <c r="AA93" i="13"/>
  <c r="E93" i="13" s="1"/>
  <c r="AA92" i="13"/>
  <c r="E92" i="13" s="1"/>
  <c r="AA91" i="13"/>
  <c r="E91" i="13" s="1"/>
  <c r="AA90" i="13"/>
  <c r="E90" i="13" s="1"/>
  <c r="AA89" i="13"/>
  <c r="E89" i="13" s="1"/>
  <c r="AA88" i="13"/>
  <c r="E88" i="13" s="1"/>
  <c r="AA87" i="13"/>
  <c r="E87" i="13" s="1"/>
  <c r="AA86" i="13"/>
  <c r="E86" i="13" s="1"/>
  <c r="AA85" i="13"/>
  <c r="F85" i="13"/>
  <c r="AA84" i="13"/>
  <c r="E84" i="13" s="1"/>
  <c r="AA83" i="13"/>
  <c r="F83" i="13"/>
  <c r="AA82" i="13"/>
  <c r="E82" i="13" s="1"/>
  <c r="AA81" i="13"/>
  <c r="E81" i="13" s="1"/>
  <c r="AA80" i="13"/>
  <c r="E80" i="13" s="1"/>
  <c r="AA79" i="13"/>
  <c r="E79" i="13" s="1"/>
  <c r="AA78" i="13"/>
  <c r="E78" i="13" s="1"/>
  <c r="AA77" i="13"/>
  <c r="E77" i="13" s="1"/>
  <c r="AA76" i="13"/>
  <c r="E76" i="13" s="1"/>
  <c r="AA75" i="13"/>
  <c r="E75" i="13" s="1"/>
  <c r="AA74" i="13"/>
  <c r="E74" i="13" s="1"/>
  <c r="AA73" i="13"/>
  <c r="E73" i="13" s="1"/>
  <c r="AA72" i="13"/>
  <c r="E72" i="13" s="1"/>
  <c r="AA71" i="13"/>
  <c r="E71" i="13" s="1"/>
  <c r="AA70" i="13"/>
  <c r="E70" i="13" s="1"/>
  <c r="AA69" i="13"/>
  <c r="E69" i="13" s="1"/>
  <c r="AA68" i="13"/>
  <c r="E68" i="13" s="1"/>
  <c r="AA67" i="13"/>
  <c r="AA66" i="13"/>
  <c r="E66" i="13" s="1"/>
  <c r="AA65" i="13"/>
  <c r="AA64" i="13"/>
  <c r="E64" i="13" s="1"/>
  <c r="AA63" i="13"/>
  <c r="E63" i="13" s="1"/>
  <c r="AA62" i="13"/>
  <c r="E62" i="13" s="1"/>
  <c r="AA61" i="13"/>
  <c r="E61" i="13" s="1"/>
  <c r="AA60" i="13"/>
  <c r="E60" i="13" s="1"/>
  <c r="AA59" i="13"/>
  <c r="AA58" i="13"/>
  <c r="E58" i="13" s="1"/>
  <c r="AA57" i="13"/>
  <c r="F57" i="13"/>
  <c r="AA56" i="13"/>
  <c r="E56" i="13" s="1"/>
  <c r="AA55" i="13"/>
  <c r="E55" i="13" s="1"/>
  <c r="AA54" i="13"/>
  <c r="E54" i="13" s="1"/>
  <c r="AA53" i="13"/>
  <c r="E53" i="13" s="1"/>
  <c r="AA52" i="13"/>
  <c r="F52" i="13"/>
  <c r="AA51" i="13"/>
  <c r="E51" i="13" s="1"/>
  <c r="AA50" i="13"/>
  <c r="E50" i="13" s="1"/>
  <c r="AA49" i="13"/>
  <c r="E49" i="13" s="1"/>
  <c r="AA48" i="13"/>
  <c r="F48" i="13"/>
  <c r="AA47" i="13"/>
  <c r="E47" i="13" s="1"/>
  <c r="AA46" i="13"/>
  <c r="E46" i="13" s="1"/>
  <c r="AA45" i="13"/>
  <c r="E45" i="13" s="1"/>
  <c r="AA44" i="13"/>
  <c r="E44" i="13" s="1"/>
  <c r="AA43" i="13"/>
  <c r="F43" i="13"/>
  <c r="AA42" i="13"/>
  <c r="E42" i="13" s="1"/>
  <c r="AA41" i="13"/>
  <c r="E41" i="13" s="1"/>
  <c r="AA40" i="13"/>
  <c r="F40" i="13"/>
  <c r="AA39" i="13"/>
  <c r="E39" i="13" s="1"/>
  <c r="AA38" i="13"/>
  <c r="F38" i="13"/>
  <c r="AA37" i="13"/>
  <c r="E37" i="13" s="1"/>
  <c r="AA36" i="13"/>
  <c r="F36" i="13"/>
  <c r="AA35" i="13"/>
  <c r="E35" i="13" s="1"/>
  <c r="AA34" i="13"/>
  <c r="E34" i="13" s="1"/>
  <c r="AA33" i="13"/>
  <c r="E33" i="13" s="1"/>
  <c r="AA32" i="13"/>
  <c r="E32" i="13" s="1"/>
  <c r="AA31" i="13"/>
  <c r="E31" i="13" s="1"/>
  <c r="AA30" i="13"/>
  <c r="F30" i="13"/>
  <c r="AA29" i="13"/>
  <c r="E29" i="13" s="1"/>
  <c r="AA28" i="13"/>
  <c r="E28" i="13" s="1"/>
  <c r="AA27" i="13"/>
  <c r="F27" i="13"/>
  <c r="AA26" i="13"/>
  <c r="E26" i="13" s="1"/>
  <c r="AA25" i="13"/>
  <c r="E25" i="13" s="1"/>
  <c r="AA24" i="13"/>
  <c r="E24" i="13" s="1"/>
  <c r="AA23" i="13"/>
  <c r="E23" i="13" s="1"/>
  <c r="AA22" i="13"/>
  <c r="E22" i="13" s="1"/>
  <c r="AA21" i="13"/>
  <c r="AA20" i="13"/>
  <c r="E20" i="13" s="1"/>
  <c r="AA19" i="13"/>
  <c r="E19" i="13" s="1"/>
  <c r="AA18" i="13"/>
  <c r="E18" i="13" s="1"/>
  <c r="AA17" i="13"/>
  <c r="AC16" i="13"/>
  <c r="AC15" i="13" s="1"/>
  <c r="AB16" i="13"/>
  <c r="AB15" i="13" s="1"/>
  <c r="Z16" i="13"/>
  <c r="Z15" i="13" s="1"/>
  <c r="X16" i="13"/>
  <c r="X15" i="13" s="1"/>
  <c r="W16" i="13"/>
  <c r="W15" i="13" s="1"/>
  <c r="V16" i="13"/>
  <c r="V15" i="13" s="1"/>
  <c r="U16" i="13"/>
  <c r="U15" i="13" s="1"/>
  <c r="T16" i="13"/>
  <c r="T15" i="13" s="1"/>
  <c r="S16" i="13"/>
  <c r="S15" i="13" s="1"/>
  <c r="R16" i="13"/>
  <c r="R15" i="13" s="1"/>
  <c r="Q16" i="13"/>
  <c r="Q15" i="13" s="1"/>
  <c r="P16" i="13"/>
  <c r="P15" i="13" s="1"/>
  <c r="O16" i="13"/>
  <c r="O15" i="13" s="1"/>
  <c r="N16" i="13"/>
  <c r="N15" i="13" s="1"/>
  <c r="M16" i="13"/>
  <c r="M15" i="13" s="1"/>
  <c r="L16" i="13"/>
  <c r="L15" i="13" s="1"/>
  <c r="K16" i="13"/>
  <c r="K15" i="13" s="1"/>
  <c r="J16" i="13"/>
  <c r="J15" i="13" s="1"/>
  <c r="I16" i="13"/>
  <c r="I15" i="13" s="1"/>
  <c r="H16" i="13"/>
  <c r="H15" i="13" s="1"/>
  <c r="G16" i="13"/>
  <c r="G15" i="13" s="1"/>
  <c r="W1" i="13"/>
  <c r="L147" i="13" l="1"/>
  <c r="J109" i="13"/>
  <c r="Q213" i="13"/>
  <c r="T213" i="13" s="1"/>
  <c r="P106" i="13"/>
  <c r="K233" i="13"/>
  <c r="W147" i="13"/>
  <c r="Q158" i="13"/>
  <c r="T158" i="13" s="1"/>
  <c r="M117" i="13"/>
  <c r="J274" i="13"/>
  <c r="U274" i="13"/>
  <c r="H291" i="13"/>
  <c r="L291" i="13"/>
  <c r="O291" i="13"/>
  <c r="E30" i="13"/>
  <c r="P274" i="13"/>
  <c r="AB14" i="13"/>
  <c r="G148" i="13"/>
  <c r="E148" i="13" s="1"/>
  <c r="E67" i="13"/>
  <c r="G262" i="13"/>
  <c r="E262" i="13" s="1"/>
  <c r="G275" i="13"/>
  <c r="E275" i="13" s="1"/>
  <c r="E38" i="13"/>
  <c r="E57" i="13"/>
  <c r="E85" i="13"/>
  <c r="L274" i="13"/>
  <c r="W274" i="13"/>
  <c r="G160" i="13"/>
  <c r="E160" i="13" s="1"/>
  <c r="G161" i="13"/>
  <c r="E161" i="13" s="1"/>
  <c r="G163" i="13"/>
  <c r="E163" i="13" s="1"/>
  <c r="Z14" i="13"/>
  <c r="Z13" i="13" s="1"/>
  <c r="E21" i="13"/>
  <c r="E27" i="13"/>
  <c r="E52" i="13"/>
  <c r="N274" i="13"/>
  <c r="E17" i="13"/>
  <c r="E36" i="13"/>
  <c r="E40" i="13"/>
  <c r="E43" i="13"/>
  <c r="E48" i="13"/>
  <c r="E65" i="13"/>
  <c r="E83" i="13"/>
  <c r="G99" i="13"/>
  <c r="E99" i="13" s="1"/>
  <c r="F133" i="13"/>
  <c r="F144" i="13"/>
  <c r="F154" i="13"/>
  <c r="F193" i="13"/>
  <c r="F205" i="13"/>
  <c r="F233" i="13"/>
  <c r="F246" i="13"/>
  <c r="G277" i="13"/>
  <c r="E277" i="13" s="1"/>
  <c r="G149" i="13"/>
  <c r="E149" i="13" s="1"/>
  <c r="F179" i="13"/>
  <c r="F185" i="13"/>
  <c r="F201" i="13"/>
  <c r="F269" i="13"/>
  <c r="F198" i="13"/>
  <c r="E303" i="13"/>
  <c r="G107" i="13"/>
  <c r="E107" i="13" s="1"/>
  <c r="G128" i="13"/>
  <c r="E128" i="13" s="1"/>
  <c r="G196" i="13"/>
  <c r="E196" i="13" s="1"/>
  <c r="G197" i="13"/>
  <c r="E197" i="13" s="1"/>
  <c r="G263" i="13"/>
  <c r="E263" i="13" s="1"/>
  <c r="G264" i="13"/>
  <c r="E264" i="13" s="1"/>
  <c r="G266" i="13"/>
  <c r="E266" i="13" s="1"/>
  <c r="G272" i="13"/>
  <c r="E272" i="13" s="1"/>
  <c r="G100" i="13"/>
  <c r="E100" i="13" s="1"/>
  <c r="U129" i="13"/>
  <c r="G131" i="13"/>
  <c r="E131" i="13" s="1"/>
  <c r="G132" i="13"/>
  <c r="E132" i="13" s="1"/>
  <c r="Q137" i="13"/>
  <c r="G139" i="13"/>
  <c r="E139" i="13" s="1"/>
  <c r="O140" i="13"/>
  <c r="Q154" i="13"/>
  <c r="G155" i="13"/>
  <c r="G157" i="13"/>
  <c r="E157" i="13" s="1"/>
  <c r="G188" i="13"/>
  <c r="E188" i="13" s="1"/>
  <c r="G210" i="13"/>
  <c r="E210" i="13" s="1"/>
  <c r="Q222" i="13"/>
  <c r="G224" i="13"/>
  <c r="E224" i="13" s="1"/>
  <c r="AA95" i="13"/>
  <c r="G276" i="13"/>
  <c r="E276" i="13" s="1"/>
  <c r="W291" i="13"/>
  <c r="K291" i="13"/>
  <c r="G294" i="13"/>
  <c r="E294" i="13" s="1"/>
  <c r="V98" i="13"/>
  <c r="X98" i="13"/>
  <c r="F98" i="13"/>
  <c r="G105" i="13"/>
  <c r="E105" i="13" s="1"/>
  <c r="G110" i="13"/>
  <c r="E110" i="13" s="1"/>
  <c r="G119" i="13"/>
  <c r="E119" i="13" s="1"/>
  <c r="G120" i="13"/>
  <c r="E120" i="13" s="1"/>
  <c r="G124" i="13"/>
  <c r="E124" i="13" s="1"/>
  <c r="G126" i="13"/>
  <c r="E126" i="13" s="1"/>
  <c r="H147" i="13"/>
  <c r="G176" i="13"/>
  <c r="E176" i="13" s="1"/>
  <c r="L175" i="13"/>
  <c r="N175" i="13"/>
  <c r="P175" i="13"/>
  <c r="I175" i="13"/>
  <c r="K175" i="13"/>
  <c r="O175" i="13"/>
  <c r="G206" i="13"/>
  <c r="G205" i="13" s="1"/>
  <c r="E205" i="13" s="1"/>
  <c r="G208" i="13"/>
  <c r="E208" i="13" s="1"/>
  <c r="G214" i="13"/>
  <c r="E214" i="13" s="1"/>
  <c r="G215" i="13"/>
  <c r="E215" i="13" s="1"/>
  <c r="G216" i="13"/>
  <c r="E216" i="13" s="1"/>
  <c r="G229" i="13"/>
  <c r="E229" i="13" s="1"/>
  <c r="G231" i="13"/>
  <c r="E231" i="13" s="1"/>
  <c r="G232" i="13"/>
  <c r="E232" i="13" s="1"/>
  <c r="L233" i="13"/>
  <c r="G240" i="13"/>
  <c r="E240" i="13" s="1"/>
  <c r="G241" i="13"/>
  <c r="E241" i="13" s="1"/>
  <c r="G249" i="13"/>
  <c r="E249" i="13" s="1"/>
  <c r="G254" i="13"/>
  <c r="E254" i="13" s="1"/>
  <c r="G270" i="13"/>
  <c r="E270" i="13" s="1"/>
  <c r="H274" i="13"/>
  <c r="G281" i="13"/>
  <c r="E281" i="13" s="1"/>
  <c r="G285" i="13"/>
  <c r="E285" i="13" s="1"/>
  <c r="G287" i="13"/>
  <c r="E287" i="13" s="1"/>
  <c r="I291" i="13"/>
  <c r="M291" i="13"/>
  <c r="G297" i="13"/>
  <c r="E297" i="13" s="1"/>
  <c r="Y301" i="13"/>
  <c r="Y222" i="13"/>
  <c r="Y137" i="13"/>
  <c r="Y113" i="13"/>
  <c r="V147" i="13"/>
  <c r="X147" i="13"/>
  <c r="G170" i="13"/>
  <c r="E170" i="13" s="1"/>
  <c r="G112" i="13"/>
  <c r="E112" i="13" s="1"/>
  <c r="G115" i="13"/>
  <c r="E115" i="13" s="1"/>
  <c r="K116" i="13"/>
  <c r="I116" i="13"/>
  <c r="M116" i="13"/>
  <c r="I123" i="13"/>
  <c r="K123" i="13"/>
  <c r="M123" i="13"/>
  <c r="O123" i="13"/>
  <c r="V123" i="13"/>
  <c r="X123" i="13"/>
  <c r="F123" i="13"/>
  <c r="G136" i="13"/>
  <c r="E136" i="13" s="1"/>
  <c r="P133" i="13"/>
  <c r="J137" i="13"/>
  <c r="L137" i="13"/>
  <c r="N137" i="13"/>
  <c r="P137" i="13"/>
  <c r="U137" i="13"/>
  <c r="W137" i="13"/>
  <c r="M137" i="13"/>
  <c r="D97" i="13"/>
  <c r="D96" i="13" s="1"/>
  <c r="D95" i="13" s="1"/>
  <c r="I140" i="13"/>
  <c r="K140" i="13"/>
  <c r="M140" i="13"/>
  <c r="T140" i="13"/>
  <c r="W140" i="13"/>
  <c r="U140" i="13"/>
  <c r="G143" i="13"/>
  <c r="E143" i="13" s="1"/>
  <c r="X140" i="13"/>
  <c r="G153" i="13"/>
  <c r="E153" i="13" s="1"/>
  <c r="G174" i="13"/>
  <c r="E174" i="13" s="1"/>
  <c r="Q175" i="13"/>
  <c r="T175" i="13" s="1"/>
  <c r="U175" i="13"/>
  <c r="G183" i="13"/>
  <c r="E183" i="13" s="1"/>
  <c r="G186" i="13"/>
  <c r="E186" i="13" s="1"/>
  <c r="G191" i="13"/>
  <c r="E191" i="13" s="1"/>
  <c r="G192" i="13"/>
  <c r="E192" i="13" s="1"/>
  <c r="G212" i="13"/>
  <c r="E212" i="13" s="1"/>
  <c r="G219" i="13"/>
  <c r="E219" i="13" s="1"/>
  <c r="G220" i="13"/>
  <c r="E220" i="13" s="1"/>
  <c r="G236" i="13"/>
  <c r="E236" i="13" s="1"/>
  <c r="P233" i="13"/>
  <c r="G237" i="13"/>
  <c r="E237" i="13" s="1"/>
  <c r="G244" i="13"/>
  <c r="E244" i="13" s="1"/>
  <c r="G245" i="13"/>
  <c r="E245" i="13" s="1"/>
  <c r="G255" i="13"/>
  <c r="E255" i="13" s="1"/>
  <c r="G256" i="13"/>
  <c r="E256" i="13" s="1"/>
  <c r="G258" i="13"/>
  <c r="E258" i="13" s="1"/>
  <c r="G279" i="13"/>
  <c r="E279" i="13" s="1"/>
  <c r="G286" i="13"/>
  <c r="E286" i="13" s="1"/>
  <c r="G299" i="13"/>
  <c r="E299" i="13" s="1"/>
  <c r="Y274" i="13"/>
  <c r="Y140" i="13"/>
  <c r="Y129" i="13"/>
  <c r="Y117" i="13"/>
  <c r="Y116" i="13" s="1"/>
  <c r="J123" i="13"/>
  <c r="N123" i="13"/>
  <c r="P193" i="13"/>
  <c r="V274" i="13"/>
  <c r="X274" i="13"/>
  <c r="Y291" i="13"/>
  <c r="Y225" i="13"/>
  <c r="Y198" i="13"/>
  <c r="Y181" i="13"/>
  <c r="Y154" i="13"/>
  <c r="Y151" i="13"/>
  <c r="Y144" i="13"/>
  <c r="Y133" i="13"/>
  <c r="Y123" i="13"/>
  <c r="Y109" i="13"/>
  <c r="Y106" i="13"/>
  <c r="Y103" i="13"/>
  <c r="Y98" i="13"/>
  <c r="F59" i="13"/>
  <c r="G102" i="13"/>
  <c r="E102" i="13" s="1"/>
  <c r="H106" i="13"/>
  <c r="H109" i="13"/>
  <c r="I109" i="13"/>
  <c r="K109" i="13"/>
  <c r="M109" i="13"/>
  <c r="O109" i="13"/>
  <c r="X109" i="13"/>
  <c r="Q113" i="13"/>
  <c r="G114" i="13"/>
  <c r="E114" i="13" s="1"/>
  <c r="J113" i="13"/>
  <c r="L113" i="13"/>
  <c r="N113" i="13"/>
  <c r="P113" i="13"/>
  <c r="Q117" i="13"/>
  <c r="Q116" i="13" s="1"/>
  <c r="G118" i="13"/>
  <c r="E118" i="13" s="1"/>
  <c r="J117" i="13"/>
  <c r="J116" i="13" s="1"/>
  <c r="L117" i="13"/>
  <c r="L116" i="13" s="1"/>
  <c r="N117" i="13"/>
  <c r="N116" i="13" s="1"/>
  <c r="P117" i="13"/>
  <c r="P116" i="13" s="1"/>
  <c r="V117" i="13"/>
  <c r="V116" i="13" s="1"/>
  <c r="X117" i="13"/>
  <c r="X116" i="13" s="1"/>
  <c r="G121" i="13"/>
  <c r="E121" i="13" s="1"/>
  <c r="G122" i="13"/>
  <c r="E122" i="13" s="1"/>
  <c r="Q129" i="13"/>
  <c r="G130" i="13"/>
  <c r="J129" i="13"/>
  <c r="L129" i="13"/>
  <c r="N129" i="13"/>
  <c r="P129" i="13"/>
  <c r="V129" i="13"/>
  <c r="X129" i="13"/>
  <c r="H133" i="13"/>
  <c r="G134" i="13"/>
  <c r="E134" i="13" s="1"/>
  <c r="J133" i="13"/>
  <c r="N133" i="13"/>
  <c r="U133" i="13"/>
  <c r="W133" i="13"/>
  <c r="G135" i="13"/>
  <c r="E135" i="13" s="1"/>
  <c r="V133" i="13"/>
  <c r="K137" i="13"/>
  <c r="O137" i="13"/>
  <c r="T137" i="13"/>
  <c r="G145" i="13"/>
  <c r="E145" i="13" s="1"/>
  <c r="U144" i="13"/>
  <c r="W144" i="13"/>
  <c r="G146" i="13"/>
  <c r="E146" i="13" s="1"/>
  <c r="V144" i="13"/>
  <c r="F147" i="13"/>
  <c r="I147" i="13"/>
  <c r="K147" i="13"/>
  <c r="M147" i="13"/>
  <c r="O147" i="13"/>
  <c r="G150" i="13"/>
  <c r="E150" i="13" s="1"/>
  <c r="Q151" i="13"/>
  <c r="J151" i="13"/>
  <c r="L151" i="13"/>
  <c r="N151" i="13"/>
  <c r="P151" i="13"/>
  <c r="U151" i="13"/>
  <c r="G171" i="13"/>
  <c r="E171" i="13" s="1"/>
  <c r="Q172" i="13"/>
  <c r="T172" i="13" s="1"/>
  <c r="J172" i="13"/>
  <c r="L172" i="13"/>
  <c r="N172" i="13"/>
  <c r="P172" i="13"/>
  <c r="U172" i="13"/>
  <c r="G177" i="13"/>
  <c r="E177" i="13" s="1"/>
  <c r="W175" i="13"/>
  <c r="G178" i="13"/>
  <c r="E178" i="13" s="1"/>
  <c r="G180" i="13"/>
  <c r="E180" i="13" s="1"/>
  <c r="Q181" i="13"/>
  <c r="J181" i="13"/>
  <c r="L181" i="13"/>
  <c r="N181" i="13"/>
  <c r="P181" i="13"/>
  <c r="U181" i="13"/>
  <c r="H185" i="13"/>
  <c r="Q189" i="13"/>
  <c r="T189" i="13" s="1"/>
  <c r="G190" i="13"/>
  <c r="E190" i="13" s="1"/>
  <c r="J189" i="13"/>
  <c r="L189" i="13"/>
  <c r="N189" i="13"/>
  <c r="P189" i="13"/>
  <c r="H193" i="13"/>
  <c r="G194" i="13"/>
  <c r="E194" i="13" s="1"/>
  <c r="J193" i="13"/>
  <c r="N193" i="13"/>
  <c r="U193" i="13"/>
  <c r="W193" i="13"/>
  <c r="G195" i="13"/>
  <c r="E195" i="13" s="1"/>
  <c r="V193" i="13"/>
  <c r="G199" i="13"/>
  <c r="E199" i="13" s="1"/>
  <c r="U198" i="13"/>
  <c r="W198" i="13"/>
  <c r="G200" i="13"/>
  <c r="E200" i="13" s="1"/>
  <c r="V198" i="13"/>
  <c r="G202" i="13"/>
  <c r="G201" i="13" s="1"/>
  <c r="E201" i="13" s="1"/>
  <c r="Q203" i="13"/>
  <c r="AA96" i="13"/>
  <c r="W113" i="13"/>
  <c r="W117" i="13"/>
  <c r="W116" i="13" s="1"/>
  <c r="W129" i="13"/>
  <c r="W189" i="13"/>
  <c r="W213" i="13"/>
  <c r="V291" i="13"/>
  <c r="X291" i="13"/>
  <c r="L213" i="13"/>
  <c r="N213" i="13"/>
  <c r="P213" i="13"/>
  <c r="G217" i="13"/>
  <c r="E217" i="13" s="1"/>
  <c r="G218" i="13"/>
  <c r="E218" i="13" s="1"/>
  <c r="G221" i="13"/>
  <c r="E221" i="13" s="1"/>
  <c r="Q225" i="13"/>
  <c r="U225" i="13"/>
  <c r="G227" i="13"/>
  <c r="E227" i="13" s="1"/>
  <c r="G228" i="13"/>
  <c r="E228" i="13" s="1"/>
  <c r="H233" i="13"/>
  <c r="G234" i="13"/>
  <c r="E234" i="13" s="1"/>
  <c r="J233" i="13"/>
  <c r="N233" i="13"/>
  <c r="U233" i="13"/>
  <c r="W233" i="13"/>
  <c r="G235" i="13"/>
  <c r="E235" i="13" s="1"/>
  <c r="V233" i="13"/>
  <c r="G238" i="13"/>
  <c r="E238" i="13" s="1"/>
  <c r="G239" i="13"/>
  <c r="E239" i="13" s="1"/>
  <c r="G242" i="13"/>
  <c r="E242" i="13" s="1"/>
  <c r="G243" i="13"/>
  <c r="E243" i="13" s="1"/>
  <c r="G247" i="13"/>
  <c r="E247" i="13" s="1"/>
  <c r="U246" i="13"/>
  <c r="W246" i="13"/>
  <c r="G248" i="13"/>
  <c r="E248" i="13" s="1"/>
  <c r="V246" i="13"/>
  <c r="G251" i="13"/>
  <c r="E251" i="13" s="1"/>
  <c r="G252" i="13"/>
  <c r="E252" i="13" s="1"/>
  <c r="G259" i="13"/>
  <c r="E259" i="13" s="1"/>
  <c r="G260" i="13"/>
  <c r="E260" i="13" s="1"/>
  <c r="H269" i="13"/>
  <c r="F274" i="13"/>
  <c r="G283" i="13"/>
  <c r="E283" i="13" s="1"/>
  <c r="Q291" i="13"/>
  <c r="J291" i="13"/>
  <c r="N291" i="13"/>
  <c r="P291" i="13"/>
  <c r="T117" i="13"/>
  <c r="T116" i="13" s="1"/>
  <c r="T129" i="13"/>
  <c r="G142" i="13"/>
  <c r="E142" i="13" s="1"/>
  <c r="AA16" i="13"/>
  <c r="AA15" i="13" s="1"/>
  <c r="H98" i="13"/>
  <c r="I98" i="13"/>
  <c r="K98" i="13"/>
  <c r="M98" i="13"/>
  <c r="O98" i="13"/>
  <c r="T100" i="13"/>
  <c r="G101" i="13"/>
  <c r="T102" i="13"/>
  <c r="Q103" i="13"/>
  <c r="G104" i="13"/>
  <c r="J103" i="13"/>
  <c r="L103" i="13"/>
  <c r="N103" i="13"/>
  <c r="P103" i="13"/>
  <c r="U106" i="13"/>
  <c r="W106" i="13"/>
  <c r="G108" i="13"/>
  <c r="E108" i="13" s="1"/>
  <c r="U109" i="13"/>
  <c r="W109" i="13"/>
  <c r="G111" i="13"/>
  <c r="E111" i="13" s="1"/>
  <c r="U123" i="13"/>
  <c r="W123" i="13"/>
  <c r="G125" i="13"/>
  <c r="E125" i="13" s="1"/>
  <c r="G127" i="13"/>
  <c r="E127" i="13" s="1"/>
  <c r="G138" i="13"/>
  <c r="V137" i="13"/>
  <c r="X137" i="13"/>
  <c r="Q140" i="13"/>
  <c r="T144" i="13"/>
  <c r="G152" i="13"/>
  <c r="V151" i="13"/>
  <c r="X151" i="13"/>
  <c r="T225" i="13"/>
  <c r="AC14" i="13"/>
  <c r="AC13" i="13" s="1"/>
  <c r="S98" i="13"/>
  <c r="S97" i="13" s="1"/>
  <c r="S96" i="13" s="1"/>
  <c r="S95" i="13" s="1"/>
  <c r="S14" i="13" s="1"/>
  <c r="S13" i="13" s="1"/>
  <c r="T101" i="13"/>
  <c r="T106" i="13"/>
  <c r="T109" i="13"/>
  <c r="T123" i="13"/>
  <c r="J140" i="13"/>
  <c r="L140" i="13"/>
  <c r="N140" i="13"/>
  <c r="P140" i="13"/>
  <c r="G169" i="13"/>
  <c r="E169" i="13" s="1"/>
  <c r="G156" i="13"/>
  <c r="J154" i="13"/>
  <c r="L154" i="13"/>
  <c r="N154" i="13"/>
  <c r="P154" i="13"/>
  <c r="V154" i="13"/>
  <c r="X154" i="13"/>
  <c r="J158" i="13"/>
  <c r="L158" i="13"/>
  <c r="N158" i="13"/>
  <c r="P158" i="13"/>
  <c r="V158" i="13"/>
  <c r="X158" i="13"/>
  <c r="K158" i="13"/>
  <c r="O158" i="13"/>
  <c r="G167" i="13"/>
  <c r="E167" i="13" s="1"/>
  <c r="G168" i="13"/>
  <c r="E168" i="13" s="1"/>
  <c r="G173" i="13"/>
  <c r="E173" i="13" s="1"/>
  <c r="V172" i="13"/>
  <c r="X172" i="13"/>
  <c r="G182" i="13"/>
  <c r="G181" i="13" s="1"/>
  <c r="V181" i="13"/>
  <c r="X181" i="13"/>
  <c r="G184" i="13"/>
  <c r="E184" i="13" s="1"/>
  <c r="U185" i="13"/>
  <c r="W185" i="13"/>
  <c r="G187" i="13"/>
  <c r="E187" i="13" s="1"/>
  <c r="T198" i="13"/>
  <c r="G204" i="13"/>
  <c r="G203" i="13" s="1"/>
  <c r="G207" i="13"/>
  <c r="E207" i="13" s="1"/>
  <c r="G209" i="13"/>
  <c r="E209" i="13" s="1"/>
  <c r="G211" i="13"/>
  <c r="E211" i="13" s="1"/>
  <c r="J222" i="13"/>
  <c r="L222" i="13"/>
  <c r="N222" i="13"/>
  <c r="P222" i="13"/>
  <c r="K222" i="13"/>
  <c r="O222" i="13"/>
  <c r="J225" i="13"/>
  <c r="L225" i="13"/>
  <c r="N225" i="13"/>
  <c r="P225" i="13"/>
  <c r="V225" i="13"/>
  <c r="X225" i="13"/>
  <c r="K225" i="13"/>
  <c r="O225" i="13"/>
  <c r="G230" i="13"/>
  <c r="E230" i="13" s="1"/>
  <c r="G250" i="13"/>
  <c r="E250" i="13" s="1"/>
  <c r="G253" i="13"/>
  <c r="E253" i="13" s="1"/>
  <c r="G257" i="13"/>
  <c r="E257" i="13" s="1"/>
  <c r="G261" i="13"/>
  <c r="E261" i="13" s="1"/>
  <c r="G265" i="13"/>
  <c r="E265" i="13" s="1"/>
  <c r="G267" i="13"/>
  <c r="E267" i="13" s="1"/>
  <c r="G268" i="13"/>
  <c r="E268" i="13" s="1"/>
  <c r="U269" i="13"/>
  <c r="W269" i="13"/>
  <c r="G271" i="13"/>
  <c r="E271" i="13" s="1"/>
  <c r="G273" i="13"/>
  <c r="E273" i="13" s="1"/>
  <c r="I274" i="13"/>
  <c r="K274" i="13"/>
  <c r="M274" i="13"/>
  <c r="O274" i="13"/>
  <c r="T274" i="13"/>
  <c r="G278" i="13"/>
  <c r="E278" i="13" s="1"/>
  <c r="G280" i="13"/>
  <c r="E280" i="13" s="1"/>
  <c r="G282" i="13"/>
  <c r="E282" i="13" s="1"/>
  <c r="G284" i="13"/>
  <c r="E284" i="13" s="1"/>
  <c r="G288" i="13"/>
  <c r="E288" i="13" s="1"/>
  <c r="T291" i="13"/>
  <c r="G293" i="13"/>
  <c r="E293" i="13" s="1"/>
  <c r="G298" i="13"/>
  <c r="E298" i="13" s="1"/>
  <c r="G300" i="13"/>
  <c r="E300" i="13" s="1"/>
  <c r="AB302" i="13"/>
  <c r="AB301" i="13" s="1"/>
  <c r="AA302" i="13"/>
  <c r="E302" i="13" s="1"/>
  <c r="T113" i="13"/>
  <c r="T133" i="13"/>
  <c r="T151" i="13"/>
  <c r="G141" i="13"/>
  <c r="E141" i="13" s="1"/>
  <c r="V140" i="13"/>
  <c r="F158" i="13"/>
  <c r="Q98" i="13"/>
  <c r="F103" i="13"/>
  <c r="H103" i="13"/>
  <c r="R105" i="13"/>
  <c r="R103" i="13" s="1"/>
  <c r="R97" i="13" s="1"/>
  <c r="R96" i="13" s="1"/>
  <c r="R95" i="13" s="1"/>
  <c r="R14" i="13" s="1"/>
  <c r="R13" i="13" s="1"/>
  <c r="Q106" i="13"/>
  <c r="Q109" i="13"/>
  <c r="F113" i="13"/>
  <c r="H113" i="13"/>
  <c r="F117" i="13"/>
  <c r="H117" i="13"/>
  <c r="H116" i="13" s="1"/>
  <c r="Q123" i="13"/>
  <c r="F129" i="13"/>
  <c r="H129" i="13"/>
  <c r="Q133" i="13"/>
  <c r="F137" i="13"/>
  <c r="H137" i="13"/>
  <c r="F140" i="13"/>
  <c r="H140" i="13"/>
  <c r="Q144" i="13"/>
  <c r="Q147" i="13"/>
  <c r="T147" i="13" s="1"/>
  <c r="F151" i="13"/>
  <c r="H151" i="13"/>
  <c r="H154" i="13"/>
  <c r="T181" i="13"/>
  <c r="G159" i="13"/>
  <c r="E159" i="13" s="1"/>
  <c r="H158" i="13"/>
  <c r="F222" i="13"/>
  <c r="F225" i="13"/>
  <c r="F172" i="13"/>
  <c r="H172" i="13"/>
  <c r="F175" i="13"/>
  <c r="H175" i="13"/>
  <c r="Q179" i="13"/>
  <c r="T179" i="13" s="1"/>
  <c r="F181" i="13"/>
  <c r="H181" i="13"/>
  <c r="Q185" i="13"/>
  <c r="T185" i="13" s="1"/>
  <c r="F189" i="13"/>
  <c r="H189" i="13"/>
  <c r="Q193" i="13"/>
  <c r="T193" i="13" s="1"/>
  <c r="Q198" i="13"/>
  <c r="Q201" i="13"/>
  <c r="F203" i="13"/>
  <c r="H203" i="13"/>
  <c r="Q205" i="13"/>
  <c r="F213" i="13"/>
  <c r="H213" i="13"/>
  <c r="G223" i="13"/>
  <c r="H222" i="13"/>
  <c r="G226" i="13"/>
  <c r="H225" i="13"/>
  <c r="G295" i="13"/>
  <c r="E295" i="13" s="1"/>
  <c r="U291" i="13"/>
  <c r="Q233" i="13"/>
  <c r="T233" i="13" s="1"/>
  <c r="Q246" i="13"/>
  <c r="T246" i="13" s="1"/>
  <c r="Q269" i="13"/>
  <c r="T269" i="13" s="1"/>
  <c r="Q274" i="13"/>
  <c r="G301" i="13"/>
  <c r="AA14" i="13" l="1"/>
  <c r="G151" i="13"/>
  <c r="G103" i="13"/>
  <c r="G225" i="13"/>
  <c r="G222" i="13"/>
  <c r="E222" i="13" s="1"/>
  <c r="G137" i="13"/>
  <c r="E137" i="13" s="1"/>
  <c r="G129" i="13"/>
  <c r="E129" i="13" s="1"/>
  <c r="G113" i="13"/>
  <c r="E113" i="13" s="1"/>
  <c r="AB13" i="13"/>
  <c r="E155" i="13"/>
  <c r="G154" i="13"/>
  <c r="I97" i="13"/>
  <c r="I96" i="13" s="1"/>
  <c r="I95" i="13" s="1"/>
  <c r="I14" i="13" s="1"/>
  <c r="I13" i="13" s="1"/>
  <c r="G133" i="13"/>
  <c r="E133" i="13" s="1"/>
  <c r="G175" i="13"/>
  <c r="E175" i="13" s="1"/>
  <c r="G213" i="13"/>
  <c r="E213" i="13" s="1"/>
  <c r="E203" i="13"/>
  <c r="G189" i="13"/>
  <c r="E189" i="13" s="1"/>
  <c r="E181" i="13"/>
  <c r="G158" i="13"/>
  <c r="E158" i="13" s="1"/>
  <c r="G116" i="13"/>
  <c r="E103" i="13"/>
  <c r="G117" i="13"/>
  <c r="E117" i="13" s="1"/>
  <c r="M97" i="13"/>
  <c r="M96" i="13" s="1"/>
  <c r="M95" i="13" s="1"/>
  <c r="M14" i="13" s="1"/>
  <c r="M13" i="13" s="1"/>
  <c r="E206" i="13"/>
  <c r="G106" i="13"/>
  <c r="E106" i="13" s="1"/>
  <c r="E151" i="13"/>
  <c r="G109" i="13"/>
  <c r="E109" i="13" s="1"/>
  <c r="G98" i="13"/>
  <c r="E98" i="13" s="1"/>
  <c r="F16" i="13"/>
  <c r="E16" i="13" s="1"/>
  <c r="E59" i="13"/>
  <c r="E202" i="13"/>
  <c r="E130" i="13"/>
  <c r="E226" i="13"/>
  <c r="E223" i="13"/>
  <c r="E182" i="13"/>
  <c r="E204" i="13"/>
  <c r="E152" i="13"/>
  <c r="E104" i="13"/>
  <c r="E101" i="13"/>
  <c r="E156" i="13"/>
  <c r="E138" i="13"/>
  <c r="Y97" i="13"/>
  <c r="Y96" i="13" s="1"/>
  <c r="Y95" i="13" s="1"/>
  <c r="Y14" i="13" s="1"/>
  <c r="Y13" i="13" s="1"/>
  <c r="E225" i="13"/>
  <c r="W97" i="13"/>
  <c r="W96" i="13" s="1"/>
  <c r="W95" i="13" s="1"/>
  <c r="W14" i="13" s="1"/>
  <c r="W13" i="13" s="1"/>
  <c r="G274" i="13"/>
  <c r="E274" i="13" s="1"/>
  <c r="G198" i="13"/>
  <c r="E198" i="13" s="1"/>
  <c r="G144" i="13"/>
  <c r="E144" i="13" s="1"/>
  <c r="V97" i="13"/>
  <c r="V96" i="13" s="1"/>
  <c r="V95" i="13" s="1"/>
  <c r="V14" i="13" s="1"/>
  <c r="V13" i="13" s="1"/>
  <c r="G123" i="13"/>
  <c r="E123" i="13" s="1"/>
  <c r="T98" i="13"/>
  <c r="G172" i="13"/>
  <c r="E172" i="13" s="1"/>
  <c r="G179" i="13"/>
  <c r="E179" i="13" s="1"/>
  <c r="U97" i="13"/>
  <c r="U96" i="13" s="1"/>
  <c r="U95" i="13" s="1"/>
  <c r="U14" i="13" s="1"/>
  <c r="U13" i="13" s="1"/>
  <c r="W2" i="13" s="1"/>
  <c r="X97" i="13"/>
  <c r="X96" i="13" s="1"/>
  <c r="X95" i="13" s="1"/>
  <c r="X14" i="13" s="1"/>
  <c r="X13" i="13" s="1"/>
  <c r="G246" i="13"/>
  <c r="E246" i="13" s="1"/>
  <c r="N97" i="13"/>
  <c r="N96" i="13" s="1"/>
  <c r="N95" i="13" s="1"/>
  <c r="N14" i="13" s="1"/>
  <c r="N13" i="13" s="1"/>
  <c r="J97" i="13"/>
  <c r="J96" i="13" s="1"/>
  <c r="J95" i="13" s="1"/>
  <c r="J14" i="13" s="1"/>
  <c r="J13" i="13" s="1"/>
  <c r="P97" i="13"/>
  <c r="P96" i="13" s="1"/>
  <c r="P95" i="13" s="1"/>
  <c r="P14" i="13" s="1"/>
  <c r="P13" i="13" s="1"/>
  <c r="L97" i="13"/>
  <c r="L96" i="13" s="1"/>
  <c r="L95" i="13" s="1"/>
  <c r="L14" i="13" s="1"/>
  <c r="L13" i="13" s="1"/>
  <c r="O97" i="13"/>
  <c r="O96" i="13" s="1"/>
  <c r="O95" i="13" s="1"/>
  <c r="O14" i="13" s="1"/>
  <c r="O13" i="13" s="1"/>
  <c r="K97" i="13"/>
  <c r="K96" i="13" s="1"/>
  <c r="K95" i="13" s="1"/>
  <c r="K14" i="13" s="1"/>
  <c r="K13" i="13" s="1"/>
  <c r="G291" i="13"/>
  <c r="E291" i="13" s="1"/>
  <c r="G292" i="13"/>
  <c r="E292" i="13" s="1"/>
  <c r="G233" i="13"/>
  <c r="E233" i="13" s="1"/>
  <c r="G269" i="13"/>
  <c r="E269" i="13" s="1"/>
  <c r="G193" i="13"/>
  <c r="E193" i="13" s="1"/>
  <c r="G147" i="13"/>
  <c r="E147" i="13" s="1"/>
  <c r="F116" i="13"/>
  <c r="G140" i="13"/>
  <c r="E140" i="13" s="1"/>
  <c r="AA301" i="13"/>
  <c r="AA13" i="13" s="1"/>
  <c r="G185" i="13"/>
  <c r="E185" i="13" s="1"/>
  <c r="H97" i="13"/>
  <c r="Q97" i="13"/>
  <c r="Q96" i="13" s="1"/>
  <c r="Q95" i="13" s="1"/>
  <c r="Q14" i="13" s="1"/>
  <c r="Q13" i="13" s="1"/>
  <c r="T105" i="13"/>
  <c r="T103" i="13" s="1"/>
  <c r="E116" i="13" l="1"/>
  <c r="V2" i="13"/>
  <c r="G97" i="13"/>
  <c r="G96" i="13" s="1"/>
  <c r="G95" i="13" s="1"/>
  <c r="G14" i="13" s="1"/>
  <c r="G13" i="13" s="1"/>
  <c r="E154" i="13"/>
  <c r="T97" i="13"/>
  <c r="T96" i="13" s="1"/>
  <c r="T95" i="13" s="1"/>
  <c r="T14" i="13" s="1"/>
  <c r="T13" i="13" s="1"/>
  <c r="H96" i="13"/>
  <c r="H95" i="13" s="1"/>
  <c r="H14" i="13" s="1"/>
  <c r="H13" i="13" s="1"/>
  <c r="F15" i="13"/>
  <c r="E15" i="13" s="1"/>
  <c r="E301" i="13"/>
  <c r="F97" i="13"/>
  <c r="E97" i="13" l="1"/>
  <c r="F96" i="13"/>
  <c r="E96" i="13" s="1"/>
  <c r="F95" i="13" l="1"/>
  <c r="E95" i="13" s="1"/>
  <c r="F14" i="13" l="1"/>
  <c r="F13" i="13" l="1"/>
  <c r="E13" i="13" s="1"/>
  <c r="E14" i="13"/>
  <c r="D111" i="6" l="1"/>
  <c r="F111" i="6" s="1"/>
  <c r="D96" i="6"/>
  <c r="F96" i="6" s="1"/>
  <c r="D90" i="6"/>
  <c r="F90" i="6" s="1"/>
  <c r="D81" i="6"/>
  <c r="F81" i="6" s="1"/>
  <c r="D31" i="6"/>
  <c r="F31" i="6" s="1"/>
  <c r="D39" i="4"/>
  <c r="D36" i="4"/>
  <c r="D9" i="6" l="1"/>
  <c r="G39" i="4"/>
  <c r="F39" i="4"/>
  <c r="F36" i="4"/>
  <c r="G36" i="4"/>
  <c r="D12" i="4"/>
  <c r="D9" i="4"/>
  <c r="D8" i="4" s="1"/>
  <c r="G8" i="4" l="1"/>
  <c r="D8" i="6"/>
  <c r="F8" i="4"/>
  <c r="G9" i="4"/>
  <c r="F9" i="4"/>
  <c r="G12" i="4"/>
  <c r="F12" i="4"/>
  <c r="D79" i="6"/>
  <c r="E8" i="1"/>
  <c r="E7" i="1"/>
  <c r="E6" i="1"/>
  <c r="E5" i="1"/>
  <c r="F23" i="1"/>
  <c r="E24" i="1" s="1"/>
  <c r="E25" i="1" s="1"/>
  <c r="E26" i="1" s="1"/>
  <c r="E27" i="1" s="1"/>
  <c r="E18" i="1"/>
  <c r="E16" i="1"/>
  <c r="E17" i="1"/>
  <c r="E15" i="1"/>
  <c r="G15" i="1"/>
  <c r="G16" i="1"/>
  <c r="G17" i="1"/>
  <c r="G18" i="1"/>
  <c r="G14" i="1"/>
  <c r="F79" i="6" l="1"/>
  <c r="D71" i="6"/>
  <c r="F71" i="6" s="1"/>
  <c r="F4" i="1"/>
  <c r="F14" i="1"/>
  <c r="H15" i="1"/>
  <c r="H18" i="1"/>
  <c r="H16" i="1"/>
  <c r="H17" i="1"/>
  <c r="D34" i="6" l="1"/>
  <c r="I16" i="1"/>
  <c r="D30" i="6" l="1"/>
  <c r="D7" i="6" s="1"/>
  <c r="G35" i="24" l="1"/>
  <c r="J35" i="24" s="1"/>
  <c r="F35" i="24" l="1"/>
  <c r="G34" i="24"/>
  <c r="J34" i="24" s="1"/>
  <c r="G30" i="24" l="1"/>
  <c r="I35" i="24"/>
  <c r="F34" i="24"/>
  <c r="F30" i="24" s="1"/>
  <c r="F36" i="6"/>
  <c r="G8" i="24" l="1"/>
  <c r="F8" i="24" s="1"/>
  <c r="J30" i="24"/>
  <c r="I30" i="24"/>
  <c r="I34" i="24"/>
  <c r="E10" i="6"/>
  <c r="E9" i="6" s="1"/>
  <c r="E8" i="6" s="1"/>
  <c r="E7" i="6" s="1"/>
  <c r="F11" i="6"/>
  <c r="E23" i="4"/>
  <c r="F35" i="6"/>
  <c r="J8" i="24" l="1"/>
  <c r="E22" i="4"/>
  <c r="G23" i="4"/>
  <c r="F10" i="6"/>
  <c r="F34" i="6"/>
  <c r="E33" i="4"/>
  <c r="G24" i="4"/>
  <c r="F24" i="4"/>
  <c r="F23" i="4" s="1"/>
  <c r="F9" i="6" l="1"/>
  <c r="E31" i="4"/>
  <c r="E21" i="4" s="1"/>
  <c r="F33" i="4"/>
  <c r="G33" i="4"/>
  <c r="F22" i="4"/>
  <c r="G22" i="4"/>
  <c r="F30" i="6"/>
  <c r="F8" i="6" l="1"/>
  <c r="F7" i="6"/>
  <c r="F21" i="4"/>
  <c r="G21" i="4"/>
  <c r="G31" i="4"/>
  <c r="F31" i="4"/>
  <c r="K33" i="24"/>
  <c r="K32" i="24"/>
  <c r="I32" i="24"/>
  <c r="I33" i="24" l="1"/>
  <c r="K19" i="24"/>
  <c r="C19" i="24"/>
  <c r="I19" i="24" l="1"/>
  <c r="C12" i="24"/>
  <c r="E12" i="24" l="1"/>
  <c r="K12" i="24" s="1"/>
  <c r="I12" i="24"/>
  <c r="C11" i="24"/>
  <c r="I11" i="24" s="1"/>
  <c r="C10" i="24" l="1"/>
  <c r="I10" i="24" s="1"/>
  <c r="E11" i="24"/>
  <c r="K11" i="24" s="1"/>
  <c r="C9" i="24" l="1"/>
  <c r="C8" i="24" s="1"/>
  <c r="I8" i="24" s="1"/>
  <c r="E10" i="24"/>
  <c r="E9" i="24" s="1"/>
  <c r="E8" i="24" s="1"/>
  <c r="I9" i="24" l="1"/>
  <c r="K10" i="24"/>
  <c r="K9" i="24"/>
  <c r="K8" i="24"/>
  <c r="K17" i="24"/>
  <c r="C17" i="24"/>
  <c r="I17"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15" authorId="0" shapeId="0" xr:uid="{00000000-0006-0000-0700-000001000000}">
      <text>
        <r>
          <rPr>
            <b/>
            <sz val="9"/>
            <color indexed="81"/>
            <rFont val="Tahoma"/>
            <family val="2"/>
          </rPr>
          <t xml:space="preserve">Author: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08" authorId="0" shapeId="0" xr:uid="{00000000-0006-0000-0800-000001000000}">
      <text>
        <r>
          <rPr>
            <b/>
            <sz val="8"/>
            <color indexed="81"/>
            <rFont val="Tahoma"/>
            <family val="2"/>
          </rPr>
          <t>Author:</t>
        </r>
        <r>
          <rPr>
            <sz val="8"/>
            <color indexed="81"/>
            <rFont val="Tahoma"/>
            <family val="2"/>
          </rPr>
          <t xml:space="preserve">
TT QH và kiểm định CL CTXD giao tự chủ 100% từ 2011</t>
        </r>
      </text>
    </comment>
    <comment ref="B111" authorId="0" shapeId="0" xr:uid="{00000000-0006-0000-0800-000002000000}">
      <text>
        <r>
          <rPr>
            <b/>
            <sz val="8"/>
            <color indexed="81"/>
            <rFont val="Tahoma"/>
            <family val="2"/>
          </rPr>
          <t>Author:</t>
        </r>
        <r>
          <rPr>
            <sz val="8"/>
            <color indexed="81"/>
            <rFont val="Tahoma"/>
            <family val="2"/>
          </rPr>
          <t xml:space="preserve">
Chưa bao gồm từ 10% TSĐ 8,210tr
</t>
        </r>
      </text>
    </comment>
    <comment ref="B183" authorId="0" shapeId="0" xr:uid="{00000000-0006-0000-0800-000003000000}">
      <text>
        <r>
          <rPr>
            <b/>
            <sz val="8"/>
            <color indexed="81"/>
            <rFont val="Tahoma"/>
            <family val="2"/>
          </rPr>
          <t>Author:</t>
        </r>
        <r>
          <rPr>
            <sz val="8"/>
            <color indexed="81"/>
            <rFont val="Tahoma"/>
            <family val="2"/>
          </rPr>
          <t xml:space="preserve">
Chi 3 kỳ họp, Giao ban, PC đại biểu, họp QH, tiếp xúc cử tri, trang phục 1,520tr, khác 2,580tr
</t>
        </r>
      </text>
    </comment>
  </commentList>
</comments>
</file>

<file path=xl/sharedStrings.xml><?xml version="1.0" encoding="utf-8"?>
<sst xmlns="http://schemas.openxmlformats.org/spreadsheetml/2006/main" count="2478" uniqueCount="1093">
  <si>
    <t>Thu nội địa</t>
  </si>
  <si>
    <t>tỷ lệ thu tiền sd đất trong tổng thu NSNN</t>
  </si>
  <si>
    <t>2016-2020</t>
  </si>
  <si>
    <t>Giai đoạn</t>
  </si>
  <si>
    <t>2021-2025</t>
  </si>
  <si>
    <t>tốc độ tăng tỷ lệ tiền sd đất trong tổng thu NSNN</t>
  </si>
  <si>
    <t>Tỷ lệ tăng thu NSNN nội địa so với năm liền kề</t>
  </si>
  <si>
    <t>Tốc độ tăng trưởng bình quân thu nội địa (%)</t>
  </si>
  <si>
    <t>Chênh lệch tăng so với giai đoạn liền trước</t>
  </si>
  <si>
    <t>2026-2031</t>
  </si>
  <si>
    <t>2031-2035</t>
  </si>
  <si>
    <t>2036-2040</t>
  </si>
  <si>
    <t>2041-2045</t>
  </si>
  <si>
    <t>Tốc độ tăng trưởng trung bình giai đoạn</t>
  </si>
  <si>
    <t>Năm</t>
  </si>
  <si>
    <t>Giai đoạn 2016-2020</t>
  </si>
  <si>
    <t>STT</t>
  </si>
  <si>
    <t>Nội dung (1)</t>
  </si>
  <si>
    <t>Dự toán</t>
  </si>
  <si>
    <t>Quyết toán</t>
  </si>
  <si>
    <t>So sánh</t>
  </si>
  <si>
    <t>Tuyệt đối</t>
  </si>
  <si>
    <t>Tương đối (%)</t>
  </si>
  <si>
    <t>A</t>
  </si>
  <si>
    <t>B</t>
  </si>
  <si>
    <t>3=2-1</t>
  </si>
  <si>
    <t>4=2/1</t>
  </si>
  <si>
    <t>TỔNG NGUỒN THU NSĐP</t>
  </si>
  <si>
    <t>I</t>
  </si>
  <si>
    <t>Thu NSĐP được hưởng theo phân cấp</t>
  </si>
  <si>
    <t>-</t>
  </si>
  <si>
    <t>Thu NSĐP hưởng 100%</t>
  </si>
  <si>
    <t>Thu NSĐP hưởng từ các khoản thu phân chia</t>
  </si>
  <si>
    <t>II</t>
  </si>
  <si>
    <t xml:space="preserve">Thu bổ sung từ ngân sách cấp trên </t>
  </si>
  <si>
    <t>Thu bổ sung cân đối ngân sách</t>
  </si>
  <si>
    <t>Thu bổ sung có mục tiêu</t>
  </si>
  <si>
    <t>III</t>
  </si>
  <si>
    <t>Thu từ quỹ dự trữ tài chính</t>
  </si>
  <si>
    <t>IV</t>
  </si>
  <si>
    <t>V</t>
  </si>
  <si>
    <t>Thu chuyển nguồn từ năm trước chuyển sang</t>
  </si>
  <si>
    <t>TỔNG CHI NSĐP</t>
  </si>
  <si>
    <t>Chi đầu tư phát triển</t>
  </si>
  <si>
    <t>Chi thường xuyên</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</si>
  <si>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</si>
  <si>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</si>
  <si>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</si>
  <si>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</si>
  <si>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</si>
  <si>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</si>
  <si>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</si>
  <si>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C</t>
  </si>
  <si>
    <t>D</t>
  </si>
  <si>
    <t>CHI TRẢ NỢ GỐC CỦA NSĐP</t>
  </si>
  <si>
    <t>Từ nguồn vay để trả nợ gốc</t>
  </si>
  <si>
    <t>Từ nguồn bội thu, tăng thu, tiết kiệm chi, kết dư ngân sách cấp tỉnh</t>
  </si>
  <si>
    <t>E</t>
  </si>
  <si>
    <t>TỔNG MỨC VAY CỦA NSĐP</t>
  </si>
  <si>
    <t>Vay để bù đắp bội chi</t>
  </si>
  <si>
    <t>Vay để trả nợ gốc</t>
  </si>
  <si>
    <t>G</t>
  </si>
  <si>
    <t>TỔNG MỨC DƯ NỢ VAY CUỐI NĂM CỦA NSĐP</t>
  </si>
  <si>
    <t>Đơn vị: Triệu đồng</t>
  </si>
  <si>
    <t>Nội dung</t>
  </si>
  <si>
    <t>So sánh (%)</t>
  </si>
  <si>
    <t>Tổng thu NSNN</t>
  </si>
  <si>
    <t>Thu NSĐP</t>
  </si>
  <si>
    <t>5=3/1</t>
  </si>
  <si>
    <t>6=4/2</t>
  </si>
  <si>
    <t>TỔNG NGUỒN THU NSNN (A+B+C+D)</t>
  </si>
  <si>
    <t>TỔNG THU CÂN ĐỐI NSNN</t>
  </si>
  <si>
    <t>Thu từ khu vực DNNN do trung ương quản lý (1)</t>
  </si>
  <si>
    <t>(Chi tiết theo sắc thuế)</t>
  </si>
  <si>
    <t>Thu từ khu vực DNNN do địa phương quản lý (2)</t>
  </si>
  <si>
    <t>Thu từ khu vực doanh nghiệp có vốn đầu tư nước ngoài (3)</t>
  </si>
  <si>
    <t>Thu từ khu vực kinh tế ngoài quốc doanh (4)</t>
  </si>
  <si>
    <t>Thuế thu nhập cá nhân</t>
  </si>
  <si>
    <t>Thuế bảo vệ môi trường</t>
  </si>
  <si>
    <t>Lệ phí trước bạ</t>
  </si>
  <si>
    <t xml:space="preserve">Thu phí, lệ phí </t>
  </si>
  <si>
    <t>Phí và lệ phí trung ương</t>
  </si>
  <si>
    <t>Phí và lệ phí tỉnh</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</si>
  <si>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</si>
  <si>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</si>
  <si>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</si>
  <si>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</si>
  <si>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</si>
  <si>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</si>
  <si>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</si>
  <si>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</si>
  <si>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</si>
  <si>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</si>
  <si>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</si>
  <si>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(5)</t>
  </si>
  <si>
    <t>Lợi nhuận được chia của Nhà nước và lợi nhuận sau thuế còn lại sau khi trích lập các quỹ của doanh nghiệp nhà nước (5)</t>
  </si>
  <si>
    <t>Chênh lệch thu chi Ngân hàng Nhà nước (5)</t>
  </si>
  <si>
    <t>Thu từ dầu thô</t>
  </si>
  <si>
    <t xml:space="preserve">Thu từ hoạt động xuất nhập khẩu </t>
  </si>
  <si>
    <t>Thuế xuất khẩu</t>
  </si>
  <si>
    <t>Thuế nhập khẩu</t>
  </si>
  <si>
    <t>Thuế tiêu thụ đặc biệt thu từ hàng hóa nhập khẩu</t>
  </si>
  <si>
    <t>Thuế bảo vệ môi trường thu từ hàng hóa nhập khẩu</t>
  </si>
  <si>
    <t>Thuế giá trị gia tăng thu từ hàng hóa nhập khẩu</t>
  </si>
  <si>
    <t>Thu khác</t>
  </si>
  <si>
    <t>THU KẾT DƯ NĂM TRƯỚC</t>
  </si>
  <si>
    <t>THU CHUYỂN NGUỒN TỪ NĂM TRƯỚC CHUYỂN SANG</t>
  </si>
  <si>
    <t>Ghi chú:</t>
  </si>
  <si>
    <t>(1) Doanh nghiệp nhà nước do trung ương quản lý là doanh nghiệp do bộ, cơ quan ngang bộ, cơ quan thuộc Chính phủ, cơ quan khác ở trung ương đại diện Nhà nước chủ sở hữu 100% vốn điều lệ.</t>
  </si>
  <si>
    <t>(2) Doanh nghiệp nhà nước do địa phương quản lý là doanh nghiệp do Ủy ban nhân dân cấp tỉnh đại diện Nhà nước chủ sở hữu 100% vốn điều lệ.</t>
  </si>
  <si>
    <t>(3) Doanh nghiệp có vốn đầu tư nước ngoài là các doanh nghiệp mà phần vốn do tổ chức, cá nhân nước ngoài sở hữu từ 51% vốn điều lệ trở lên hoặc có đa số thành viên hợp danh là cá nhân nước ngoài đối với tổ chức kinh tế là công ty hợp danh.</t>
  </si>
  <si>
    <t>(4) Doanh nghiệp khu vực kinh tế ngoài quốc doanh là các doanh nghiệp thành lập theo Luật doanh nghiệp, Luật các tổ chức tín dụng, trừ các doanh nghiệp nhà nước do trung ương, địa phương quản lý, doanh nghiệp có vốn đầu tư nước ngoài nêu trên.</t>
  </si>
  <si>
    <t>(5) Thu ngân sách nhà nước trên địa bàn, thu ngân sách địa phương cấp huyện, xã không có thu từ cổ tức, lợi nhuận được chia của Nhà nước và lợi nhuận sau thuế còn lại sau khi trích lập các quỹ của doanh nghiệp nhà nước, chênh lệch thu, chi Ngân hàng Nhà nước, thu từ dầu thô, thu từ hoạt động xuất, nhập khẩu. Thu chênh lệch thu, chi Ngân hàng Nhà nước chỉ áp dụng đối với thành phố Hà Nội.</t>
  </si>
  <si>
    <t>3=2/1</t>
  </si>
  <si>
    <t>TỔNG CHI NGÂN SÁCH ĐỊA PHƯƠNG</t>
  </si>
  <si>
    <t>CHI CÂN ĐỐI NGÂN SÁCH ĐỊA PHƯƠNG</t>
  </si>
  <si>
    <t xml:space="preserve">Chi đầu tư cho các dự án </t>
  </si>
  <si>
    <t>Trong đó: Chia theo lĩnh vực</t>
  </si>
  <si>
    <t>Chi giáo dục - đào tạo và dạy nghề</t>
  </si>
  <si>
    <t xml:space="preserve">Chi khoa học và công nghệ </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</si>
  <si>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</si>
  <si>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</si>
  <si>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</si>
  <si>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</si>
  <si>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</si>
  <si>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</si>
  <si>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khoa học và công nghệ</t>
  </si>
  <si>
    <t>VI</t>
  </si>
  <si>
    <t>CHI CÁC CHƯƠNG TRÌNH MỤC TIÊU</t>
  </si>
  <si>
    <t xml:space="preserve">Chi các chương trình mục tiêu, nhiệm vụ </t>
  </si>
  <si>
    <t>CHI CHUYỂN NGUỒN SANG NĂM SAU</t>
  </si>
  <si>
    <t>CHI BỔ SUNG CÂN ĐỐI CHO NGÂN SÁCH CẤP DƯỚI (1)</t>
  </si>
  <si>
    <t>CHI NGÂN SÁCH CẤP TỈNH (HUYỆN, XÃ) THEO LĨNH VỰC</t>
  </si>
  <si>
    <t xml:space="preserve">Chi đầu tư phát triển </t>
  </si>
  <si>
    <t>Chi đầu tư cho các dự án</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</si>
  <si>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</si>
  <si>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</si>
  <si>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</si>
  <si>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</si>
  <si>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</si>
  <si>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</si>
  <si>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</si>
  <si>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</si>
  <si>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</si>
  <si>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</si>
  <si>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</si>
  <si>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khoa học và công nghệ (2)</t>
  </si>
  <si>
    <t>Chi thường xuyên khác</t>
  </si>
  <si>
    <t>Chi bổ sung quỹ dự trữ tài chính (2)</t>
  </si>
  <si>
    <t>(2) Theo quy định tại Điều 7, Điều 11 và Điều 39 Luật NSNN, ngân sách huyện, xã không có nhiệm vụ chi nghiên cứu khoa học và công nghệ, chi trả lãi vay, chi bổ sung quỹ dự trữ tài chính.</t>
  </si>
  <si>
    <t>Bao gồm</t>
  </si>
  <si>
    <t>Ngân sách địa phương</t>
  </si>
  <si>
    <t>1=2+3</t>
  </si>
  <si>
    <t>4=5+6</t>
  </si>
  <si>
    <t>7=4/1</t>
  </si>
  <si>
    <t>8=5/2</t>
  </si>
  <si>
    <t>9=6/3</t>
  </si>
  <si>
    <t>CHI CÂN ĐỐI NSĐP</t>
  </si>
  <si>
    <t>Tổng số</t>
  </si>
  <si>
    <t>…</t>
  </si>
  <si>
    <t>TỔNG SỐ</t>
  </si>
  <si>
    <t>CÁC CƠ QUAN, TỔ CHỨC</t>
  </si>
  <si>
    <t>VII</t>
  </si>
  <si>
    <t>Chi CTMTQG</t>
  </si>
  <si>
    <t>Trong đó</t>
  </si>
  <si>
    <t>Chi giáo dục đào tạo dạy nghề</t>
  </si>
  <si>
    <t>Chi khoa học và công nghệ (3)</t>
  </si>
  <si>
    <t>(2) Dự toán chi ngân sách địa phương chi tiết theo các chỉ tiêu tương ứng phần Quyết toán chi ngân sách địa phương.</t>
  </si>
  <si>
    <t>(3) Theo quy định tại Điều 7, Điều 39 Luật NSNN, ngân sách huyện, xã không có nhiệm vụ chi nghiên cứu khoa học và công nghệ.</t>
  </si>
  <si>
    <t>So sách (%)</t>
  </si>
  <si>
    <t>Bổ sung cân đối ngân sách</t>
  </si>
  <si>
    <t>Bổ sung có mục tiêu</t>
  </si>
  <si>
    <t>Gồm</t>
  </si>
  <si>
    <t>Vốn đầu tư để thực hiện các CTMT, nhiệm vụ</t>
  </si>
  <si>
    <t>Vốn sự nghiệp thực hiện các chế độ, chính sách</t>
  </si>
  <si>
    <t>Vốn thực hiện các CTMT quốc gia</t>
  </si>
  <si>
    <t>Vốn ngoài nước</t>
  </si>
  <si>
    <t>Vốn trong nước</t>
  </si>
  <si>
    <t>3=4+5</t>
  </si>
  <si>
    <t>11=12+13</t>
  </si>
  <si>
    <t>17=9/1</t>
  </si>
  <si>
    <t>18=10/2</t>
  </si>
  <si>
    <t>19=11/3</t>
  </si>
  <si>
    <t>20=12/4</t>
  </si>
  <si>
    <t>21=13/5</t>
  </si>
  <si>
    <t>22=14/6</t>
  </si>
  <si>
    <t>23=15/7</t>
  </si>
  <si>
    <t>24=16/8</t>
  </si>
  <si>
    <t>Đầu tư phát triển</t>
  </si>
  <si>
    <t>Kinh phí sự nghiệp</t>
  </si>
  <si>
    <r>
      <t>Ghi chú:</t>
    </r>
    <r>
      <rPr>
        <i/>
        <sz val="10"/>
        <color rgb="FF000000"/>
        <rFont val="Times New Roman"/>
        <family val="1"/>
      </rPr>
      <t xml:space="preserve"> (1) Theo quy định tại Điều 7, Điều 39 Luật NSNN, ngân sách huyện, xã không có nhiệm vụ chi nghiên cứu khoa học và công nghệ.</t>
    </r>
  </si>
  <si>
    <t>1.1</t>
  </si>
  <si>
    <t>1.2</t>
  </si>
  <si>
    <t>1.3</t>
  </si>
  <si>
    <t>+</t>
  </si>
  <si>
    <t>Thuế giá trị gia tăng</t>
  </si>
  <si>
    <t>Thuế thu nhập doanh nghiệp</t>
  </si>
  <si>
    <t>Thuế tài nguyên</t>
  </si>
  <si>
    <t>Thuế tài nguyên nước</t>
  </si>
  <si>
    <t>Thuế tài nguyên khác</t>
  </si>
  <si>
    <t>2.1</t>
  </si>
  <si>
    <t>2.2</t>
  </si>
  <si>
    <t>2.3</t>
  </si>
  <si>
    <t>Thuế tài nguyên rừng</t>
  </si>
  <si>
    <t>3.2</t>
  </si>
  <si>
    <t>3.1</t>
  </si>
  <si>
    <t>4.1</t>
  </si>
  <si>
    <t>4.2</t>
  </si>
  <si>
    <t>4.3</t>
  </si>
  <si>
    <t>Thuế TTĐB hàng nội địa</t>
  </si>
  <si>
    <t>4.4</t>
  </si>
  <si>
    <t>Chương trình MTQG NTM</t>
  </si>
  <si>
    <t>Chương trình MTQG giảm nghèo bền vững</t>
  </si>
  <si>
    <t>II.1</t>
  </si>
  <si>
    <t>Bổ sung vốn đầu tư</t>
  </si>
  <si>
    <t>Vốn nước ngoài</t>
  </si>
  <si>
    <t>II.2</t>
  </si>
  <si>
    <t xml:space="preserve">Bổ sung mục tiêu vốn sự nghiệp </t>
  </si>
  <si>
    <t>1.4</t>
  </si>
  <si>
    <t>Hỗ trợ các Hội Văn học nghệ thuật và Hội Nhà báo địa phương</t>
  </si>
  <si>
    <t>Hỗ trợ chi phí học tập và miễn giảm học phí theo Nghị định 86</t>
  </si>
  <si>
    <t>Hỗ trợ chi phí học tập</t>
  </si>
  <si>
    <t>Kinh phí cấp bù, miễn giảm học phí</t>
  </si>
  <si>
    <t>Hỗ trợ học sinh và trường phổ thông ở xã, thôn đặc biệt khó khăn Nghị định 116/2016/NĐ-CP</t>
  </si>
  <si>
    <t>Chính sách ưu tiên đối với học sinh mẫu giáo học sinh dân tộc rất ít người (NĐ 57)</t>
  </si>
  <si>
    <t xml:space="preserve">Học bổng học sinh dân tộc nội trú; học bổng và phương tiện học tập cho học sinh khuyết tật; hỗ trợ chi phí học tập cho sinh viên dân tộc thiểu số thuộc hộ nghèo, hộ cận nghèo; chính sách nội trú đối với học sinh, sinh viên học cao đẳng, trung cấp </t>
  </si>
  <si>
    <t>5.1</t>
  </si>
  <si>
    <t>5.2</t>
  </si>
  <si>
    <t>5.3</t>
  </si>
  <si>
    <t>Học bổng học sinh dân tộc nội trú</t>
  </si>
  <si>
    <t>Học bổng và phương tiện học tập cho học sinh khuyết tật TTLT 42</t>
  </si>
  <si>
    <t xml:space="preserve">Chính sách nội trú đối với học sinh, sinh viên học cao đẳng, trung cấp </t>
  </si>
  <si>
    <t>6.1</t>
  </si>
  <si>
    <t>6.2</t>
  </si>
  <si>
    <t>6.3</t>
  </si>
  <si>
    <t>Hỗ trợ kinh phí đào tạo cán bộ quân sự cấp xã</t>
  </si>
  <si>
    <t>Hỗ trợ đào tạo cán bộ cơ sở vùng Tây Nguyên theo Quyết định 124/QĐ-TTg</t>
  </si>
  <si>
    <t>Kinh phí thực hiện đề án giảm thiểu hôn nhân cận huyết thống</t>
  </si>
  <si>
    <t>Hỗ trợ kinh phí mua thẻ BHYT người nghèo, người sống ở vùng kinh tế xã hội ĐBKK, người dân tộc thiểu số sống ở vùng KT-XH khó khăn</t>
  </si>
  <si>
    <t>Hỗ trợ kinh phí mua thẻ BHYT cho trẻ em dưới 6 tuổi</t>
  </si>
  <si>
    <t xml:space="preserve">Hỗ trợ kinh phí mua thẻ BHYT cho các đối tượng </t>
  </si>
  <si>
    <t>Hỗ trợ kinh phí mua thẻ BHYT cho các đối tượng cựu chiến binh, thanh niên xung phong</t>
  </si>
  <si>
    <t>Hỗ trợ kinh phí mua thẻ BHYT cho các đối tượng bảo trợ xã hội</t>
  </si>
  <si>
    <t>Hỗ trợ kinh phí mua thẻ BHYT cho các đối tượng học sinh, sinh viên (Cấp KP trực tiếp về BHXH tỉnh)</t>
  </si>
  <si>
    <t>Hỗ trợ kinh phí mua thẻ BHYT cho các đối tượng cận nghèo (Cấp KP trực tiếp về BHXH tỉnh)</t>
  </si>
  <si>
    <t>Hỗ trợ thực hiện chính sách đối với đối tượng bảo trợ xã hội; hỗ trợ tiền điện hộ nghèo, hộ chính sách xã hội; trợ giá trực tiếp cho người dân tộc thiểu số nghèo ở vùng khó khăn; hỗ trợ chính sách đối với người có uy tín trong đồng bào dân tộc thiểu số; hỗ trợ tổ chức, đơn vị sử dụng lao động là người dân tộc thiểu số</t>
  </si>
  <si>
    <t>10.1</t>
  </si>
  <si>
    <t>10.2</t>
  </si>
  <si>
    <t>10.3</t>
  </si>
  <si>
    <t>10.4</t>
  </si>
  <si>
    <t>Hỗ trợ thực hiện chính sách đối với đối tượng bảo trợ xã hội theo NĐ 136</t>
  </si>
  <si>
    <t xml:space="preserve"> Hỗ trợ tiền điện hộ nghèo, hộ chính sách xã hội</t>
  </si>
  <si>
    <t>Hỗ trợ chính sách đối với người có uy tín trong đồng bào dân tộc thiểu số</t>
  </si>
  <si>
    <t>Hỗ trợ tổ chức đơn vị sử dụng lao động là người dân tộc thiểu số</t>
  </si>
  <si>
    <t>Hỗ trợ kinh phí thực hiện đề án tăng cường công tác quản lý khai thác gỗ rừng tự nhiên giai đoạn 2014-2020 theo Quyết định 2242/QĐ-TTg</t>
  </si>
  <si>
    <t xml:space="preserve">Thu thủy lợi phí, giá dịch vụ thủy lợi </t>
  </si>
  <si>
    <t>Dự án hoàn thiện, hiện đại hóa hồ sơ, bản đồ địa giới hành chính và xây dựng cơ sở dữ liệu địa giới hành chính</t>
  </si>
  <si>
    <t>Bổ sung kinh phí thực hiện nhiệm vụ đảm bảo trật tự an toán giao thông</t>
  </si>
  <si>
    <t>Kinh phí quản lý, bảo trì đường bộ cho các quỹ bảo trì đường bộ địa phương</t>
  </si>
  <si>
    <t>Kinh phí thực hiện Quyết định 2085,2086 của Thủ tướng Chính phủ</t>
  </si>
  <si>
    <t>16.1</t>
  </si>
  <si>
    <t>16.2</t>
  </si>
  <si>
    <t>Kinh phí thực hiện Quyết định 2085/QĐ-TTg ngày 31/10/2016 của Thủ tướng Chính phủ</t>
  </si>
  <si>
    <t>Kinh phí thực hiện Quyết định 2086/QĐ-TTg ngày 31/10/2016 của Thủ tướng Chính phủ</t>
  </si>
  <si>
    <t>Bổ sung thực hiện một số Chương trình mục tiêu</t>
  </si>
  <si>
    <t>17.1</t>
  </si>
  <si>
    <t>Chương trình mục tiêu Giáo dục nghề nghiệp, việc làm và an toàn lao động</t>
  </si>
  <si>
    <t>17.2</t>
  </si>
  <si>
    <t>a</t>
  </si>
  <si>
    <t>b</t>
  </si>
  <si>
    <t>c</t>
  </si>
  <si>
    <t>17.3</t>
  </si>
  <si>
    <t>Phát triển hệ thống trợ giúp xã hội</t>
  </si>
  <si>
    <t>d</t>
  </si>
  <si>
    <t>Dự án phát triển hệ thống trợ giúp XH đối với các đối tượng yếu thế</t>
  </si>
  <si>
    <t>Dự án phát triển hệ thống bảo vệ trẻ em</t>
  </si>
  <si>
    <t>Dự án hỗ trợ thực hiện các mục tiêu bình đẳng giới</t>
  </si>
  <si>
    <t>Dự án phát triển hệ thống dịch vụ hỗ trợ người cai nghiện ma túy, mại dâm và nạn nhân bị buôn bán người</t>
  </si>
  <si>
    <t>17.4</t>
  </si>
  <si>
    <t>Chương trình mục tiêu Y tế dân số (Sở Y tế thực hiện)</t>
  </si>
  <si>
    <t>e</t>
  </si>
  <si>
    <t>h</t>
  </si>
  <si>
    <t>Dự án 1: Phòng, chống một số bệnh có tính chất nguy hiểm với cộng đồng</t>
  </si>
  <si>
    <t>Dự án 2: Tiêm chủng mở rộng</t>
  </si>
  <si>
    <t>Dự án 3: Dân số và phát triển</t>
  </si>
  <si>
    <t>Dự án 4: An toàn thực phẩm</t>
  </si>
  <si>
    <t>Dự án 5: Phòng chống HIV/AIDS</t>
  </si>
  <si>
    <t>đ</t>
  </si>
  <si>
    <t>Dự án 7: Quân dân y kết hợp</t>
  </si>
  <si>
    <t>Dự án 8: Theo dõi, giám sát, đánh giá TTCT và truyền thông y tế</t>
  </si>
  <si>
    <t>17.5</t>
  </si>
  <si>
    <t xml:space="preserve">Phát triển văn hóa </t>
  </si>
  <si>
    <t>17.6</t>
  </si>
  <si>
    <t>17.7</t>
  </si>
  <si>
    <t>17.8</t>
  </si>
  <si>
    <t>17.9</t>
  </si>
  <si>
    <t>Chương trình mục tiêu ATGT, phòng cháy, tội phạm, ma túy</t>
  </si>
  <si>
    <t>Chương trình mục tiêu Phát triển lâm nghiệp bền vững</t>
  </si>
  <si>
    <t>Chương trình mục tiêu ứng phó với biến đổi khí hậu và tăng trưởng xanh</t>
  </si>
  <si>
    <t>Tái cơ cấu kinh tế nông nghiệp và phòng chống giảm nhẹ thiên tai, ổn định đời sống dân cư</t>
  </si>
  <si>
    <t>Sở Kế hoạch và Đầu tư</t>
  </si>
  <si>
    <t>Sở Nông nghiệp và PTNT</t>
  </si>
  <si>
    <t>Sở Văn hóa, Thể thao và Du lịch</t>
  </si>
  <si>
    <t>Sở Y tế</t>
  </si>
  <si>
    <t>Sở Giáo dục và Đào tạo</t>
  </si>
  <si>
    <t>Chi cục Thú y</t>
  </si>
  <si>
    <t>Đài Phát thanh và Truyền hình tỉnh</t>
  </si>
  <si>
    <t>Ban quản lý các dự án 98</t>
  </si>
  <si>
    <t>Các chủ đầu tư</t>
  </si>
  <si>
    <t>UBND huyện Ia H'Drai</t>
  </si>
  <si>
    <t>Sở GTVT và các đơn vị trực thuộc</t>
  </si>
  <si>
    <t>Sở Xây dựng và các đơn vị trực thuộc</t>
  </si>
  <si>
    <t>Sở NN và PT nông thôn</t>
  </si>
  <si>
    <t>Chi quản lý hành chính</t>
  </si>
  <si>
    <t>Chi sự nghiệp nông nghiệp</t>
  </si>
  <si>
    <t xml:space="preserve"> Chi sự nghiệp lâm nghiệp</t>
  </si>
  <si>
    <t xml:space="preserve">Sự nghiệp thuỷ lợi </t>
  </si>
  <si>
    <t xml:space="preserve">Chi quản lý hành chính </t>
  </si>
  <si>
    <t>Chi sự nghiệp giao thông</t>
  </si>
  <si>
    <t>Chi sự nghiệp xây dựng</t>
  </si>
  <si>
    <t>Sở Tài  nguyên MT và các ĐV trực thuộc</t>
  </si>
  <si>
    <t>Sự nghiệp địa chính</t>
  </si>
  <si>
    <t>Chi sự nghiệp môi trường</t>
  </si>
  <si>
    <t>Sở Công Thương và các ĐV trực thuộc</t>
  </si>
  <si>
    <t>Sự nghiệp kinh tế</t>
  </si>
  <si>
    <t>Chi  giáo dục - Đào tạo ngành Giáo dục</t>
  </si>
  <si>
    <t xml:space="preserve"> Sở Giáo dục đào tạo</t>
  </si>
  <si>
    <t>Chi sự  nghiệp giáo dục</t>
  </si>
  <si>
    <t>Chi sự nghiệp đào tạo</t>
  </si>
  <si>
    <t>KP đối ứng CTMT, QĐ 124, sắp xếp bộ máy các trường ĐT, sắp xếp theo NQ 18,19; biên chế theo VTVL, 168/CP và SNGD khác</t>
  </si>
  <si>
    <t>Chi đào tạo bồi dưỡng CBCC, hỗ trợ đào tạo, thu hút cán bộ (Chi tiết tại biểu số 06b/UB)</t>
  </si>
  <si>
    <t>Sự nghiệp y tế</t>
  </si>
  <si>
    <t>Sự nghiệp đào tạo</t>
  </si>
  <si>
    <t>Sự nghiệp giáo dục</t>
  </si>
  <si>
    <t>Bổ sung Quỹ khám chữa bệnh</t>
  </si>
  <si>
    <t xml:space="preserve"> Văn hoá Thể thao và Du lịch</t>
  </si>
  <si>
    <t xml:space="preserve">Chi quản lý hành chính VP Sở </t>
  </si>
  <si>
    <t>Sự nghiệp văn hóa</t>
  </si>
  <si>
    <t>Sự nghiệp TDTT</t>
  </si>
  <si>
    <t>Sở LĐ TB-XH và các đơn vị trực thuộc</t>
  </si>
  <si>
    <t>Sự nghiệp đảm bảo xã hội</t>
  </si>
  <si>
    <t>BHYT người nghèo và TE dưới 6 tuổi</t>
  </si>
  <si>
    <t>Sở Tư pháp và các đơn vị trực thuộc</t>
  </si>
  <si>
    <t>Chi hành chính</t>
  </si>
  <si>
    <t>Chi sự nghiệp đảm bảo xã hội</t>
  </si>
  <si>
    <t>VP Tỉnh Uỷ và các đơn vị trực thuộc Tỉnh Uỷ</t>
  </si>
  <si>
    <t>Sở Kh. học và CN và các ĐV trực thuộc</t>
  </si>
  <si>
    <t>Chi sự nghiệp khoa học và công nghệ</t>
  </si>
  <si>
    <t>Tỉnh đoàn và các đơn vị trực thuộc</t>
  </si>
  <si>
    <t>Sở Thông tin và truyền thông</t>
  </si>
  <si>
    <t>Chi sự nghiệp kinh tế</t>
  </si>
  <si>
    <t xml:space="preserve">Ban QL Khu Kinh tế  </t>
  </si>
  <si>
    <t xml:space="preserve">Chi sự nghiệp kinh tế </t>
  </si>
  <si>
    <t>Chi Sự nghiệp môi trường</t>
  </si>
  <si>
    <t>Sở Nội vụ</t>
  </si>
  <si>
    <t>BQL dự án RALG Kon Tum</t>
  </si>
  <si>
    <t>Vườn quốc gia Chư Mo Ray</t>
  </si>
  <si>
    <t>Kinh phí hợp nhất thành lập trường Cao đẳng Cộng đồng</t>
  </si>
  <si>
    <t>Trường Chính trị</t>
  </si>
  <si>
    <t>Đài phát thanh - Truyền hình</t>
  </si>
  <si>
    <t>Ban bảo vệ sức khoẻ cán bộ</t>
  </si>
  <si>
    <t>Ban Dân tộc</t>
  </si>
  <si>
    <t>Sở Ngọai vụ</t>
  </si>
  <si>
    <t>Chi quản lý hành chính Văn phòng Sở</t>
  </si>
  <si>
    <t>Chi sự nghiệp kinh tế - Kinh phí biên giới</t>
  </si>
  <si>
    <t xml:space="preserve">  Đoàn ra đoàn vào theo chủ trương UBND tỉnh</t>
  </si>
  <si>
    <t>Thanh tra nhà nước</t>
  </si>
  <si>
    <t>VP Đoàn ĐBQH và  HĐND tỉnh</t>
  </si>
  <si>
    <t>Hoạt động Hội đồng nhân dân</t>
  </si>
  <si>
    <t>Hỗ trợ hoạt động Đoàn đại biểu quốc hội</t>
  </si>
  <si>
    <t>Sở Kế hoạch  và Đầu tư</t>
  </si>
  <si>
    <t xml:space="preserve">Chi quản lý hành chính  </t>
  </si>
  <si>
    <t>Sở Tài chính</t>
  </si>
  <si>
    <t>VP Uỷ ban nhân dân tỉnh</t>
  </si>
  <si>
    <t>Hội Cựu chiến binh</t>
  </si>
  <si>
    <t>Hội Nông dân</t>
  </si>
  <si>
    <t>Uỷ ban mặt trận tổ quốc</t>
  </si>
  <si>
    <t>Hội liên hiệp phụ nữ tỉnh</t>
  </si>
  <si>
    <t>Công an tỉnh</t>
  </si>
  <si>
    <t>Bộ chỉ huy quân sự tỉnh</t>
  </si>
  <si>
    <t>Bộ chỉ huy biên phòng</t>
  </si>
  <si>
    <t>Hỗ trợ kinh phí người cao tuổi</t>
  </si>
  <si>
    <t>Hội nạn nhân ảnh hưởng chất độc da cam dioxin</t>
  </si>
  <si>
    <t>Hội người tàn tật và trẻ em mồ côi</t>
  </si>
  <si>
    <t>Hội khuyến học</t>
  </si>
  <si>
    <t>Ban liên lạc tù chính trị</t>
  </si>
  <si>
    <t>Hội nhà báo</t>
  </si>
  <si>
    <t>Hội liên hiệp KH và kỹ thuật và các Hội thành viên</t>
  </si>
  <si>
    <t>Hỗ trợ chi hoạt động thường xuyên</t>
  </si>
  <si>
    <t>Chi SN KHCN</t>
  </si>
  <si>
    <t>Hội Cựu Thanh niên xung phong</t>
  </si>
  <si>
    <t>Hội Văn học Nghệ thuật</t>
  </si>
  <si>
    <t>Hội HN Việt Nam -Lào, Việt nam - CamPuchia</t>
  </si>
  <si>
    <t>Hội liên lạc người Việt Nam ở nước ngoài</t>
  </si>
  <si>
    <t>Hội Luật gia</t>
  </si>
  <si>
    <t xml:space="preserve">Hội chữ thập đỏ </t>
  </si>
  <si>
    <t>Liên minh các Hợp tác xã</t>
  </si>
  <si>
    <t>Chi hoạt động bộ máy</t>
  </si>
  <si>
    <t>Các Hội đặc thù khác</t>
  </si>
  <si>
    <t>Hội Cựu giáo chức</t>
  </si>
  <si>
    <t>Hội Giáo dục sức khỏe cộng đồng</t>
  </si>
  <si>
    <t>Hội bóng bàn</t>
  </si>
  <si>
    <t>Liên đoàn cầu lông</t>
  </si>
  <si>
    <t>Đoàn Luật sư</t>
  </si>
  <si>
    <t>KP hoạt động Ban chỉ đạo thi hành án dân sự tỉnh</t>
  </si>
  <si>
    <t>Hỗ trợ đơn vị Trung ương kết nghĩa xây dựng xã theo NQ 04-TU</t>
  </si>
  <si>
    <t>Kho bạc nhà nước tỉnh</t>
  </si>
  <si>
    <t>Cục thi hành án dân sự</t>
  </si>
  <si>
    <t>Ngân hàng nhà nước tỉnh</t>
  </si>
  <si>
    <t>Tòa án nhân dân tỉnh</t>
  </si>
  <si>
    <t>Viện Kiểm sát nhân dân tỉnh</t>
  </si>
  <si>
    <t>Bưu điện tỉnh</t>
  </si>
  <si>
    <t>Viễn thông tinh</t>
  </si>
  <si>
    <t>Ngân hàng chĩnh sánh XH tỉnh</t>
  </si>
  <si>
    <t>Cục Thống kê tỉnh</t>
  </si>
  <si>
    <t>Cục Thuế tỉnh</t>
  </si>
  <si>
    <t>Bảo hiểm xã hội tỉnh</t>
  </si>
  <si>
    <t>Liên đoàn lao động tỉnh</t>
  </si>
  <si>
    <t>Kinh phí trực phục vụ Tết Nguyên đán 2017</t>
  </si>
  <si>
    <t>Công ty TNHH MTV Môi trường đô thị</t>
  </si>
  <si>
    <t>Công ty điện lực Kon Tum</t>
  </si>
  <si>
    <t>Cục thống kê tỉnh (hỗ trợ tổng điều tra dân số và nhà ở năm 2019)</t>
  </si>
  <si>
    <t>1</t>
  </si>
  <si>
    <t>2</t>
  </si>
  <si>
    <t>3</t>
  </si>
  <si>
    <t>4</t>
  </si>
  <si>
    <t>5</t>
  </si>
  <si>
    <t>6</t>
  </si>
  <si>
    <t>7</t>
  </si>
  <si>
    <t>7.1</t>
  </si>
  <si>
    <t>7.2</t>
  </si>
  <si>
    <t>7.3</t>
  </si>
  <si>
    <t>7.4</t>
  </si>
  <si>
    <t>7.5</t>
  </si>
  <si>
    <t>8</t>
  </si>
  <si>
    <t>8.1</t>
  </si>
  <si>
    <t>8.2</t>
  </si>
  <si>
    <t>8.3</t>
  </si>
  <si>
    <t>9</t>
  </si>
  <si>
    <t>9.1</t>
  </si>
  <si>
    <t>9.2</t>
  </si>
  <si>
    <t>9.3</t>
  </si>
  <si>
    <t>10</t>
  </si>
  <si>
    <t>11</t>
  </si>
  <si>
    <t>12</t>
  </si>
  <si>
    <t>13</t>
  </si>
  <si>
    <t>14</t>
  </si>
  <si>
    <t>15</t>
  </si>
  <si>
    <t>UBND TỈNH KON TUM</t>
  </si>
  <si>
    <t>(Dự toán đã được Hội đồng nhân dân quyết định)</t>
  </si>
  <si>
    <t>Đvt: triệu đồng</t>
  </si>
  <si>
    <t xml:space="preserve">Mã </t>
  </si>
  <si>
    <t>Dự toán năm 2018</t>
  </si>
  <si>
    <t>Đơn vị</t>
  </si>
  <si>
    <t>NSĐP (chưa có vốn đầu tư)</t>
  </si>
  <si>
    <t>Chi dự phòng, quỹ dự trữ tài chính, tăng thu so BTC giao</t>
  </si>
  <si>
    <t xml:space="preserve">Chi trả nợ lãi </t>
  </si>
  <si>
    <t>Chi giáo dục-đào tạo và dạy nghề</t>
  </si>
  <si>
    <t>Chi KHCN</t>
  </si>
  <si>
    <t>Chi an ninh</t>
  </si>
  <si>
    <t>Chi sự nghiệp y tế</t>
  </si>
  <si>
    <t>Chi sự nghiệp văn hóa</t>
  </si>
  <si>
    <t>Chi PTTH</t>
  </si>
  <si>
    <t>Chi TDTD</t>
  </si>
  <si>
    <t>SN kinh tế</t>
  </si>
  <si>
    <t>SN khác</t>
  </si>
  <si>
    <t>Quản lý hành chính</t>
  </si>
  <si>
    <t>Chi đảm bảo xã hội</t>
  </si>
  <si>
    <t>CT MTQG</t>
  </si>
  <si>
    <t>Chi giao thông</t>
  </si>
  <si>
    <t>Chi NLN, thủy lợi</t>
  </si>
  <si>
    <t>SN KT khác</t>
  </si>
  <si>
    <t xml:space="preserve">hµnh </t>
  </si>
  <si>
    <t>chÝnh</t>
  </si>
  <si>
    <t xml:space="preserve">TỔNG CỘNG </t>
  </si>
  <si>
    <t>Chi cân đối ngân sách cấp tỉnh</t>
  </si>
  <si>
    <t>A1</t>
  </si>
  <si>
    <t>Các cơ quan, tổ chức</t>
  </si>
  <si>
    <t>Dự án giảm nghèo Khu vực Tây nguyên - tỉnh Kon Tum</t>
  </si>
  <si>
    <t>Dự án phát triển khu vực biên giới tỉnh Kon Tum - Đầu tư nâng cấp Tỉnh lộ 675A</t>
  </si>
  <si>
    <t>Quy hoạch tỉnh Kon Tum thời kỳ 2021 - 2030</t>
  </si>
  <si>
    <t>Dự án Phát triển cơ sở hạ tầng nông thôn phục vụ sản xuất cho các tỉnh Tây Nguyên</t>
  </si>
  <si>
    <t>Dự án chuyển đổi nông nghiệp bền vững tại Việt Nam</t>
  </si>
  <si>
    <t>Sân vận động tỉnh (giai đoạn 2, hạng mục mái che khán đài A)</t>
  </si>
  <si>
    <t>Trưng bày bảo tàng ngoài trời</t>
  </si>
  <si>
    <t>Nâng cấp Bệnh viện Đa khoa Khu vực Ngọc Hồi từ 100 giường bệnh lên 250 giường bệnh</t>
  </si>
  <si>
    <t>Phân trạm Y tế thôn 9, xã Ia Tơi, huyện Ia H’Drai</t>
  </si>
  <si>
    <t>Trường PTDTNT huyện Ia H'Drai (giai đoạn 1)</t>
  </si>
  <si>
    <t>Đầu tư xây dựng bể bơi tại các trường học trên địa bàn các huyện, thành phố</t>
  </si>
  <si>
    <t>Trường THCS Liên Việt Kon Tum Thành, phố Kon Tum (giai đoạn 2)</t>
  </si>
  <si>
    <t>Bổ sung cơ sở vật chất trường PTDTNT huyện Kon Plông</t>
  </si>
  <si>
    <t>Bổ sung cơ sở vật chất trường PTDTNT huyện Đăk Tô</t>
  </si>
  <si>
    <t>Trạm kiểm dịch động vật Măng Khênh</t>
  </si>
  <si>
    <t>Hiện đại hóa trang thiết bị Trung tâm sản xuất chương trình phát thanh, truyền hình và hệ thống tổng khống chế</t>
  </si>
  <si>
    <t>Bệnh viện đa khoa tỉnh</t>
  </si>
  <si>
    <t xml:space="preserve">Nâng cấp bệnh viện Đa khoa tỉnh từ 400 giường bệnh lên 500 giường bệnh </t>
  </si>
  <si>
    <t>Nâng cấp Bệnh viện đa khoa tỉnh lên 750 giường bệnh (giai đoạn I)</t>
  </si>
  <si>
    <t>Cầu số 01 qua sông Đăk Bla, thành phố Kon Tum</t>
  </si>
  <si>
    <t>Cầu qua sông Đăk Bla (từ xã Vinh Quang đi phường Nguyên Trãi, TP Kon Tum - Cầu số 3)</t>
  </si>
  <si>
    <t>Đầu tư hạ tầng Khu du lịch văn hóa, lịch sử Ngục Kon Tum</t>
  </si>
  <si>
    <t>Đường và cầu từ tỉnh lộ 671 đi Quốc lộ 14</t>
  </si>
  <si>
    <t>Ban quản lý dự án đầu tư xây dựng các công trình Nông nghiệp và PTNT</t>
  </si>
  <si>
    <t>Kiên cố hóa kênh chính, kênh cấp 1 và công trình trên kênh cấp 1 thuộc công trình Hồ chứa nước Đăk Rơn Ga, huyện Đăk Tô, tỉnh Kon Tum</t>
  </si>
  <si>
    <t>Kè chống sạt lở bờ sông Pô Kô đoạn qua thị trấn Đăk Glei</t>
  </si>
  <si>
    <t>Hồ chứa nước Đăk Pokei (giai đoạn 1)</t>
  </si>
  <si>
    <t>Ban quản lý khai thác các công trình thủy lợi</t>
  </si>
  <si>
    <t>Nâng cấp, cải tạo kênh chính và công trình trên kênh chính Thủy lợi Đăk Hơ Niêng</t>
  </si>
  <si>
    <t>Sửa chữa, nâng cấp đập Bà Tri, huyện Đăk Hà</t>
  </si>
  <si>
    <t>Sửa chữa nâng cấp Thủy lợi Đăk Blồ, huyện Đăk Tô</t>
  </si>
  <si>
    <t>Sửa chữa nâng cấp đảm bảo an toàn hồ chứa</t>
  </si>
  <si>
    <t>Trung tâm nước sinh hoạt và Vệ sinh môi trường nông thôn</t>
  </si>
  <si>
    <t>Mở rộng quy mô vệ sinh và nước sạch nông thôn dựa trên kết quả giai đoạn 2016 - 2020</t>
  </si>
  <si>
    <t>Các dự án quyết toán hoàn thành khác</t>
  </si>
  <si>
    <t>Vay lại vốn nước ngoài để thực hiện các dự án ODA</t>
  </si>
  <si>
    <t>Chi phí quản lý đất đai</t>
  </si>
  <si>
    <t xml:space="preserve">Bổ sung quỹ phát triển đất </t>
  </si>
  <si>
    <t>Thu từ các dự án khai thác quỹ đất</t>
  </si>
  <si>
    <t xml:space="preserve">  - Đường hầm Sở chỉ huy cơ bản huyện Ngọc Hồi</t>
  </si>
  <si>
    <t>UBND thành phố Kon Tum</t>
  </si>
  <si>
    <t>Phân cấp đầu tư vùng kinh tế động lực</t>
  </si>
  <si>
    <t>Phân cấp đầu tư các công trình giáo dục (lồng ghép thực hiện CT MTQG xây dựng NTM)</t>
  </si>
  <si>
    <t xml:space="preserve">Phân cấp hỗ trợ, bổ sung khác </t>
  </si>
  <si>
    <t>Hỗ trợ người có công với cách mạng về nhà ở  theo QĐ số 22/2013/QĐ-TTg</t>
  </si>
  <si>
    <t xml:space="preserve">Đầu tư các công trình cấp bách khác 
</t>
  </si>
  <si>
    <t>Nguồn thu tiền sử dụng đất trong cân đối được để lại</t>
  </si>
  <si>
    <t>Nguồn Xổ số kiến thiết</t>
  </si>
  <si>
    <t>Công viên khu vực đường Trương Quang Trọng, thành phố Kon Tum</t>
  </si>
  <si>
    <t>Phân cấp đầu tư các xã biên giới</t>
  </si>
  <si>
    <t>Đường giao thông liên thôn xã Sa Bình - Ya Ly</t>
  </si>
  <si>
    <t>Xây dựng điểm dân cư số 64 (Trung tâm hành chính xã VI) thuộc xã Ia Tơi</t>
  </si>
  <si>
    <t>UBND huyện Kon Plông</t>
  </si>
  <si>
    <t>Đầu tư cơ sở hạ tầng Khu nông nghiệp ứng dụng công nghệ cao Măng Đen</t>
  </si>
  <si>
    <t>Đường giao thông từ Trung tâm xã Măng Bút đi thôn Đăk Y Bay</t>
  </si>
  <si>
    <t>Hệ thống cấp nước tưới rau hoa quả xứ lạnh</t>
  </si>
  <si>
    <t>A2</t>
  </si>
  <si>
    <t>A2.1</t>
  </si>
  <si>
    <t>Chi ngân sách cấp tỉnh</t>
  </si>
  <si>
    <t>875</t>
  </si>
  <si>
    <t>873</t>
  </si>
  <si>
    <t>874</t>
  </si>
  <si>
    <t>864</t>
  </si>
  <si>
    <t>865</t>
  </si>
  <si>
    <t>872</t>
  </si>
  <si>
    <t>868</t>
  </si>
  <si>
    <t>871</t>
  </si>
  <si>
    <t>867</t>
  </si>
  <si>
    <t>869</t>
  </si>
  <si>
    <t>862</t>
  </si>
  <si>
    <t>861</t>
  </si>
  <si>
    <t>877</t>
  </si>
  <si>
    <t>Nguồn mua sắm sửa chữa tập trung</t>
  </si>
  <si>
    <t>Sở Nông nghiệp và PTNT và các đơn vị trực thuộc</t>
  </si>
  <si>
    <t>Sở Giao thông - Vận tải và các đơn vị trực thuộc</t>
  </si>
  <si>
    <t>Sở Khoa học Công nghệ và các đơn vị trực thuộc</t>
  </si>
  <si>
    <t>Sở Xây dựng</t>
  </si>
  <si>
    <t>Sở Tư pháp</t>
  </si>
  <si>
    <t>Ban Quản lý Khu kinh tế và các đơn vị trực thuộc</t>
  </si>
  <si>
    <t>Ban Quản lý Vườn Quốc gia Chư Mom Ray</t>
  </si>
  <si>
    <t>Ban Nội chính Tỉnh ủy</t>
  </si>
  <si>
    <t>Ủy ban Mặt trận Tổ quốc Việt Nam tỉnh</t>
  </si>
  <si>
    <t>Ban Tổ chức Tỉnh ủy</t>
  </si>
  <si>
    <t>Ban Tuyên giáo Tỉnh ủy</t>
  </si>
  <si>
    <t>Văn phòng Hội đồng nhân dân tỉnh</t>
  </si>
  <si>
    <t>Trường Chính trị tỉnh</t>
  </si>
  <si>
    <t>Liên hiệp các hội Khoa học và Kỹ thuật</t>
  </si>
  <si>
    <t>16</t>
  </si>
  <si>
    <t>17</t>
  </si>
  <si>
    <t>Các đơn vị khác</t>
  </si>
  <si>
    <t>KP sắp xếp bộ máy theo NQ 18, 19/CP và KP dự phòng cho số nhân viên 68/NĐ-CP (phân bổ khi có chủ trương của cấp thẩm quyền)</t>
  </si>
  <si>
    <t>Cấp vốn ủy thác, bù lãi suất theo Nghị quyết HĐND</t>
  </si>
  <si>
    <t>Bổ sung vốn ủy thác cho vay hộ nghèo qua NHCS</t>
  </si>
  <si>
    <t>Cấp bù LS hộ nghèo vay vốn theo NQ HĐND (xử lý cho các khế ước vay còn trong hạn)</t>
  </si>
  <si>
    <t>Lập các Quy hoạch chuyển tiếp  (chờ trung ương hướng đẫn sẽ phân bổ cụ thể)</t>
  </si>
  <si>
    <t>Đại hội DTTS (chờ TW có ý kiến về nguồn KP sẽ triển khai phân bổ  cụ thể)</t>
  </si>
  <si>
    <t>Chi khác ngân sách</t>
  </si>
  <si>
    <t>Hoạt động đối ngoại Lào CPC</t>
  </si>
  <si>
    <t>Trđó: Chuyển giao kỹ thuật trồng cà phê, rau hoa xứ lạnh với các tỉnh nước bạn Lào theo KH 633/KH-UBND, ngày 19/3/2018 của UBND tỉnh  (Sở Nông nghiệp và PTNT thực hiện)</t>
  </si>
  <si>
    <t>Dự toán chi hoạt động phạt vi phạm hành chính</t>
  </si>
  <si>
    <t>Chi hoạt động thu lệ phí</t>
  </si>
  <si>
    <t>Quĩ khen thưởng</t>
  </si>
  <si>
    <t>Quỹ hỗ trợ nông dân  (Hội Nông dân tỉnh)</t>
  </si>
  <si>
    <t>Quỹ hỗ trợ phát triển hợp tác xã tỉnh (Liên minh các HTX)</t>
  </si>
  <si>
    <t>Kinh phí chỉnh lý tài liệu (phân bổ sau khi rà soát)</t>
  </si>
  <si>
    <t>Kinh phí đối ứng thực hiện Dự án Phát triển trẻ thơ toàn diện (Ban quản lý Dự án Phát triển trẻ thơ toàn diện tỉnh)</t>
  </si>
  <si>
    <t>Đối ứng CNTT nâng cấp công thông tin điện tử; kinh phí Trung tâm hành chính công</t>
  </si>
  <si>
    <t>KP tham gia các sự kiện thu hút đầu tư</t>
  </si>
  <si>
    <t>KP tổ chức các ngày lễ lớn trong năm (triển khai khi có KH UB)</t>
  </si>
  <si>
    <t>Hỗ trợ hộ nghèo ăn Tết (triển khai theo KH của UBND tỉnh)</t>
  </si>
  <si>
    <t xml:space="preserve">KP thực hiện đối ứng các DA, ĐA đang chờ cấp thẩm quyền phê duyệt (Đề án xây dựng hệ thống thông tin dữ liệu về công tác dân tộc;Đề án số hoá triển khai truyền hình mặt đất; biên soạn lịch sử; đối ứng nông thôn mới và nhiệm vụ khác...; </t>
  </si>
  <si>
    <t>Nguồn thực hiện CCTL</t>
  </si>
  <si>
    <t xml:space="preserve">          SN giáo dục - đào tạo</t>
  </si>
  <si>
    <t xml:space="preserve">          SN khoa học công nghệ</t>
  </si>
  <si>
    <t xml:space="preserve">          SN y tế</t>
  </si>
  <si>
    <t xml:space="preserve">          SN thường xuyên khác</t>
  </si>
  <si>
    <t>A3</t>
  </si>
  <si>
    <t>Chi trả nợ lãi</t>
  </si>
  <si>
    <t>A4</t>
  </si>
  <si>
    <t>Chi dự trữ tài chính</t>
  </si>
  <si>
    <t>934</t>
  </si>
  <si>
    <t>A5</t>
  </si>
  <si>
    <t>Chi dự phòng</t>
  </si>
  <si>
    <t>932</t>
  </si>
  <si>
    <t>A6</t>
  </si>
  <si>
    <t>Chi nguồn tăng thu so dự toán Trung ương giao</t>
  </si>
  <si>
    <t>949</t>
  </si>
  <si>
    <t>Chi từ nguồn bổ sung có mục tiêu từ NSTƯ để thực hiện các Chương trình mục tiêu quốc gia, Chương trình mục tiêu và nhiệm vụ khác</t>
  </si>
  <si>
    <t>B1</t>
  </si>
  <si>
    <t>Chi thực hiện các chương trình Mục tiêu quốc gia</t>
  </si>
  <si>
    <t>Chi đầu tư</t>
  </si>
  <si>
    <t>UBND huyện Tu Mơ Rông</t>
  </si>
  <si>
    <t>UBND huyện Đăk Glei</t>
  </si>
  <si>
    <t>UBND huyện Kon Plong</t>
  </si>
  <si>
    <t>UBND huyện Sa Thầy</t>
  </si>
  <si>
    <t>Huyện Kon Rẫy</t>
  </si>
  <si>
    <t>Các chủ đầu tư khác</t>
  </si>
  <si>
    <t>Văn phòng Điều phối NTM tỉnh</t>
  </si>
  <si>
    <t>Hội Nông dân tỉnh</t>
  </si>
  <si>
    <t>Hội Liên hiệp Phụ nữ tỉnh</t>
  </si>
  <si>
    <t xml:space="preserve">Sở Nông nghiệp và PTNT </t>
  </si>
  <si>
    <t>Tỉnh đoàn</t>
  </si>
  <si>
    <t>Sở Lao động - TBXH</t>
  </si>
  <si>
    <t>Liên minh Hợp tác xã tỉnh</t>
  </si>
  <si>
    <t>Sở Thông tin - Truyền thông</t>
  </si>
  <si>
    <t>B2</t>
  </si>
  <si>
    <t>Chi đầu tư thực hiện các chương trình mục tiêu, nhiệm vụ</t>
  </si>
  <si>
    <t>B3</t>
  </si>
  <si>
    <t>Chi nguồn hỗ trợ thực hiện các chế độ, chính sách theo  quy định</t>
  </si>
  <si>
    <t>Hội Nhà báo</t>
  </si>
  <si>
    <t>Sở Giáo dục và đào tạo</t>
  </si>
  <si>
    <t>Trường Cao đẳng Cộng đồng Kon Tum</t>
  </si>
  <si>
    <t>Công ty TNHH MTV Lâm nghiệp ĐăkGLei</t>
  </si>
  <si>
    <t>Công ty TNHH MTV Lâm nghiệp Kon Rẫy</t>
  </si>
  <si>
    <t>Công ty TNHH MTV Lâm nghiệp Sa Thầy</t>
  </si>
  <si>
    <t>Công ty TNHH MTV Lâm nghiệp Ngọc Hồi</t>
  </si>
  <si>
    <t>Công ty TNHH MTV Lâm nghiệp Đăk Tô</t>
  </si>
  <si>
    <t>Công ty TNHH MTV Lâm nghiệp KonPlong</t>
  </si>
  <si>
    <t>Công ty cổ phần Sân Ngọc Linh Kon Tum</t>
  </si>
  <si>
    <t>Công ty cổ phần Đầu tư phát triển Duy Tân</t>
  </si>
  <si>
    <t>Công ty TNHH MTV Lâm nghiệp Ia H'Drai</t>
  </si>
  <si>
    <t>Ban ATGT tỉnh</t>
  </si>
  <si>
    <t>Thanh tra Giao thông</t>
  </si>
  <si>
    <t>Sở Văn hóa - Thể thao và Du lịch</t>
  </si>
  <si>
    <t>Báo Kon Tum</t>
  </si>
  <si>
    <t>Đài PTTH</t>
  </si>
  <si>
    <t>Sở Thông tin truyền thông</t>
  </si>
  <si>
    <t>Quỹ Bão trì đường bộ</t>
  </si>
  <si>
    <t>BQL rừng phòng hộ Đăk Glei</t>
  </si>
  <si>
    <t>BQL rừng phòng hộ Thạch Nham</t>
  </si>
  <si>
    <t>BQL rừng phòng hộ Chư Mo Ray</t>
  </si>
  <si>
    <t>BQL khu bảo tồn thiên nhiên Ngọc Linh</t>
  </si>
  <si>
    <t>BQL rừng đặc dụng Đăk Uy</t>
  </si>
  <si>
    <t>Chi Cục Kiểm lâm</t>
  </si>
  <si>
    <t>Sở Tài Nguyên và Môi trường</t>
  </si>
  <si>
    <t>Tập trung ngân sách tỉnh (phân bổ khi có nhiệm vụ phát sinh)</t>
  </si>
  <si>
    <t>Chi đầu tư phát triển (Không kể chương trình MTQG)</t>
  </si>
  <si>
    <t>Chi thường xuyên (Không kể chương trình MTQG)</t>
  </si>
  <si>
    <t>Thành phố Kon Tum</t>
  </si>
  <si>
    <t>Huyện Đăk Hà</t>
  </si>
  <si>
    <t>Huyện Đăk Tô</t>
  </si>
  <si>
    <t xml:space="preserve">Huyện Ngọc Hồi </t>
  </si>
  <si>
    <t>Huyện Đăk Glei</t>
  </si>
  <si>
    <t>Huyện Sa Thầy</t>
  </si>
  <si>
    <t>Huyện Ia H'Drai</t>
  </si>
  <si>
    <t>Huyện Kon Plong</t>
  </si>
  <si>
    <t>Huyện Tu mơ rông</t>
  </si>
  <si>
    <t>DỰ TOÁN</t>
  </si>
  <si>
    <t>Chi ngân sách huyện</t>
  </si>
  <si>
    <t>15=16+17</t>
  </si>
  <si>
    <t>12=13+14</t>
  </si>
  <si>
    <t>11=12+15</t>
  </si>
  <si>
    <t>8=9+10</t>
  </si>
  <si>
    <t>5=6+7</t>
  </si>
  <si>
    <t>4=5+8</t>
  </si>
  <si>
    <t>3=8+15</t>
  </si>
  <si>
    <t>2=5+12</t>
  </si>
  <si>
    <t>Chương trình mục tiêu quốc gia xây dựng nông thôn mới</t>
  </si>
  <si>
    <t>Chương trình mục tiêu quốc gia giảm nghèo bền vững</t>
  </si>
  <si>
    <t>1=2+4</t>
  </si>
  <si>
    <t>2=5+13</t>
  </si>
  <si>
    <t>3=8+16</t>
  </si>
  <si>
    <t>4=5+9</t>
  </si>
  <si>
    <t>5=6+8</t>
  </si>
  <si>
    <t>8=9+11</t>
  </si>
  <si>
    <t>11=12+16</t>
  </si>
  <si>
    <t>12=13+15</t>
  </si>
  <si>
    <t>15=16+18</t>
  </si>
  <si>
    <t>QUYẾT TOÁN</t>
  </si>
  <si>
    <t>SO SÁNH (%)</t>
  </si>
  <si>
    <t>Liên minh HTX tỉnh</t>
  </si>
  <si>
    <t>Các Chủ đầu tư khác</t>
  </si>
  <si>
    <t>BẢNG PHÂN CÔNG THỰC HIỆN CÁC BIỂU QUYẾT TOÁN NSĐP THEO NGHỊ ĐỊNH 31</t>
  </si>
  <si>
    <t>Tên biểu</t>
  </si>
  <si>
    <t>Ký hiệu</t>
  </si>
  <si>
    <t>Cán bộ thực hiện</t>
  </si>
  <si>
    <t>CBCQ phối hợp</t>
  </si>
  <si>
    <t>Ghi chú</t>
  </si>
  <si>
    <t>Biểu mẫu số 48</t>
  </si>
  <si>
    <t>Long</t>
  </si>
  <si>
    <t>Quyết toán cân đối nguồn thu, chi ngân sách cấp tỉnh</t>
  </si>
  <si>
    <t>Biểu mẫu số 49</t>
  </si>
  <si>
    <t>Quyết toán nguồn thu ngân sách nhà nước trên địa bàn theo lĩnh vực</t>
  </si>
  <si>
    <t>Biểu mẫu số 50</t>
  </si>
  <si>
    <t>Hào</t>
  </si>
  <si>
    <t>Biểu mẫu số 51</t>
  </si>
  <si>
    <t>Biểu mẫu số 52</t>
  </si>
  <si>
    <t>Biểu mẫu số 53</t>
  </si>
  <si>
    <t>Biểu mẫu số 54</t>
  </si>
  <si>
    <t>Quyết toán chi ngân sách địa phương theo lĩnh vực</t>
  </si>
  <si>
    <t>Hải</t>
  </si>
  <si>
    <t>Quyết toán chi ngân sách cấp tỉnh theo lĩnh vực</t>
  </si>
  <si>
    <t>Tân</t>
  </si>
  <si>
    <t>Quyết toán chi NSĐP, chi ngân sách cấp tỉnh theo cơ cấu chi</t>
  </si>
  <si>
    <t>Quyết toán chi ngân sách cấp tỉnh cho từng cơ quan, tổ chức theo lĩnh vực</t>
  </si>
  <si>
    <t>Biểu mẫu số 58</t>
  </si>
  <si>
    <t>Biểu mẫu số 59</t>
  </si>
  <si>
    <t>Biểu mẫu số 61</t>
  </si>
  <si>
    <t>Quyết toán chi ngân sách địa phương từng huyện</t>
  </si>
  <si>
    <t>Quyết toán chi CTMTQG</t>
  </si>
  <si>
    <t>Hiền</t>
  </si>
  <si>
    <t>Quyết toán bổ sung từ ngân sách cấp tỉnh cho ngân sách cấp huyện</t>
  </si>
  <si>
    <t>Tân (Long HD)</t>
  </si>
  <si>
    <t>Biểu mẫu số 64</t>
  </si>
  <si>
    <t>(KHÔNG BAO GỒM NGUỒN NGÂN SÁCH NHÀ NƯỚC)</t>
  </si>
  <si>
    <t>Sự nghiệp giáo dục - đào tạo và dạy nghề</t>
  </si>
  <si>
    <t>Sự nghiệp đào tạo và dạy nghề</t>
  </si>
  <si>
    <t>Sự nghiệp khoa học và công nghệ</t>
  </si>
  <si>
    <t>Sự nghiệp văn hóa thông tin</t>
  </si>
  <si>
    <t>Sự nghiệp phát thanh truyền hình</t>
  </si>
  <si>
    <t>Sự nghiệp thể dục thể thao</t>
  </si>
  <si>
    <t>Biểu mẫu số 63</t>
  </si>
  <si>
    <t>TỔNG HỢP CÁC QUỸ TÀI CHÍNH NHÀ NƯỚC</t>
  </si>
  <si>
    <t>Tên Quỹ</t>
  </si>
  <si>
    <t>Tổng nguồn vốn phát sinh trong năm</t>
  </si>
  <si>
    <t>Tổng sử dụng nguồn vốn trong năm</t>
  </si>
  <si>
    <t>Chênh lệch nguồn trong năm</t>
  </si>
  <si>
    <t>5=2-4</t>
  </si>
  <si>
    <t>9=6-8</t>
  </si>
  <si>
    <t>10=1+6-8</t>
  </si>
  <si>
    <t>Tổng hợp các quỹ tài chính nhà nước ngoài ngân sách do địa phương quản lý năm 2020</t>
  </si>
  <si>
    <t>Dung</t>
  </si>
  <si>
    <t>Tổng hợp thu dịch vụ của đơn vị sự nghiệp công năm 2020 (không bao gồm nguồn ngân sách nhà nước)</t>
  </si>
  <si>
    <t>Quyết toán cân đối ngân sách địa phương năm 2020</t>
  </si>
  <si>
    <r>
      <rPr>
        <strike/>
        <sz val="13"/>
        <rFont val="Times New Roman"/>
        <family val="1"/>
      </rPr>
      <t xml:space="preserve"> </t>
    </r>
    <r>
      <rPr>
        <sz val="13"/>
        <rFont val="Times New Roman"/>
        <family val="1"/>
      </rPr>
      <t xml:space="preserve">Long chủ trì,Tân, Hào, Dung phối hợp hệ thống biểu mẫu theo NĐ 31. Hải chủ trì thực hiện các Biểu công khai QT và hoàn thiện trình UB tỉnh công khai theo quy định (Hải không tham gia vào Biểu NĐ 31)  </t>
    </r>
  </si>
  <si>
    <t>Thanh (hướng dẫn)</t>
  </si>
  <si>
    <t>CBCQ</t>
  </si>
  <si>
    <t>Dư nguồn đến ngày 31/12/2019</t>
  </si>
  <si>
    <t>Kế hoạch năm 2020</t>
  </si>
  <si>
    <t>Thực hiện năm 2020</t>
  </si>
  <si>
    <t>Dư nguồn đến ngày 31/12/2020</t>
  </si>
  <si>
    <t>Biểu này từ năm 2019 trở về trước chưa làm</t>
  </si>
  <si>
    <t>QUYẾT TOÁN CHI NGÂN SÁCH ĐỊA PHƯƠNG THEO LĨNH VỰC NĂM 2020</t>
  </si>
  <si>
    <t>Hoạt động giáo dục nghề nghiệp</t>
  </si>
  <si>
    <t>Phát triển hệ thống thông tin thị trường lao động</t>
  </si>
  <si>
    <t>Nâng cao năng lực và hiệu quả quản lý về an toàn vệ sinh lao động</t>
  </si>
  <si>
    <t>Tuyên truyền, huấn luyện giáo dục nâng cao nhận thức, kỹ năng và sự tuân thủ PL về an toàn VSLĐ</t>
  </si>
  <si>
    <t>Chương trình mục tiêu Giáo dục vùng núi, vùng dân tộc thiểu số, vùng khó khăn (Tăng cường CSVC, sửa chửa nâng cấp các trường dân tộc bán trú….)</t>
  </si>
  <si>
    <t>Kinh phí hỗ trợ an ninh, quốc phòng</t>
  </si>
  <si>
    <t>Hỗ trợ Liên hiệp Phụ nữ</t>
  </si>
  <si>
    <t>Chính sách trợ giúp pháp lý</t>
  </si>
  <si>
    <t>Chi nguồn giao tăng thu so với dự toán TƯ giao (chi từ nguồn tăng thu các dự án khai thác quỹ đất so với dự toán TƯ giao)</t>
  </si>
  <si>
    <t>Phòng TCĐT p/h</t>
  </si>
  <si>
    <t>Chi từ nguồn tăng thu; kể cả 50% thực hiện CCTL theo quy định các dự án khai thác quỹ đất so với DT TƯ giao</t>
  </si>
  <si>
    <t>Chi nguồn giao tăng thu so dự toán TƯ giao (Chi từ nguồn tăng thu các dự án khai thác quỹ đất)</t>
  </si>
  <si>
    <t>TÊN ĐƠN VỊ</t>
  </si>
  <si>
    <t>CHI ĐẦU TƯ PHÁT TRIỂN (KHÔNG KỂ CHƯƠNG TRÌNH MTQG)</t>
  </si>
  <si>
    <t>CHI THƯỜNG XUYÊN (KHÔNG KỂ CHƯƠNG TRÌNH MTQG)</t>
  </si>
  <si>
    <t>Chi thường xuyên (không kể chương trình MTQG va TƯ BSMT vốn sự nghiệp)</t>
  </si>
  <si>
    <t>TƯ BSMT vốn sự nghiệp</t>
  </si>
  <si>
    <t>CHI CHƯƠNG TRÌNH MTQG</t>
  </si>
  <si>
    <t>CHI CHUYỂN NGUỒN SANG NGÂN SÁCH NĂM SAU</t>
  </si>
  <si>
    <t>CHI NỘP TRẢ NGÂN SÁCH CẤP TRÊN</t>
  </si>
  <si>
    <t>CHI ĐẦU TƯ PHÁT TRIỂN</t>
  </si>
  <si>
    <t>CHI THƯỜNG XUYÊN</t>
  </si>
  <si>
    <t>Chi thường xuyên cấp DT</t>
  </si>
  <si>
    <t>Chi thường xuyên cấp Lệnh chi</t>
  </si>
  <si>
    <t>Đâu tư</t>
  </si>
  <si>
    <t>Sự nghiệp</t>
  </si>
  <si>
    <t>1=2+..+6</t>
  </si>
  <si>
    <t>6=7+8</t>
  </si>
  <si>
    <t>9=10+..+14+17</t>
  </si>
  <si>
    <t>14=15+16</t>
  </si>
  <si>
    <t>17=18+19</t>
  </si>
  <si>
    <t>20=9/1</t>
  </si>
  <si>
    <t>21=10/2</t>
  </si>
  <si>
    <t>22=11/3</t>
  </si>
  <si>
    <t>23=14/6</t>
  </si>
  <si>
    <t>I.1</t>
  </si>
  <si>
    <t>CÁC CƠ QUAN, TỔ CHỨC KHỐI TỈNH</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</si>
  <si>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</si>
  <si>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</si>
  <si>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</si>
  <si>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</si>
  <si>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</si>
  <si>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</si>
  <si>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</si>
  <si>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</si>
  <si>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</si>
  <si>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</si>
  <si>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</si>
  <si>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</si>
  <si>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</si>
  <si>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</si>
  <si>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</si>
  <si>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</si>
  <si>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</si>
  <si>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</si>
  <si>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</si>
  <si>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</si>
  <si>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</si>
  <si>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</si>
  <si>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</si>
  <si>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</si>
  <si>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</si>
  <si>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</si>
  <si>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</si>
  <si>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</si>
  <si>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</si>
  <si>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</si>
  <si>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</si>
  <si>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</si>
  <si>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</si>
  <si>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</si>
  <si>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</si>
  <si>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Ban quản lý dự án chuyển đổi NN bền vững</t>
  </si>
  <si>
    <t>53</t>
  </si>
  <si>
    <t>54</t>
  </si>
  <si>
    <t>55</t>
  </si>
  <si>
    <t>56</t>
  </si>
  <si>
    <t>57</t>
  </si>
  <si>
    <t>58</t>
  </si>
  <si>
    <t>59</t>
  </si>
  <si>
    <t>60</t>
  </si>
  <si>
    <t>61</t>
  </si>
  <si>
    <t>62</t>
  </si>
  <si>
    <t>63</t>
  </si>
  <si>
    <t>64</t>
  </si>
  <si>
    <t>65</t>
  </si>
  <si>
    <t>66</t>
  </si>
  <si>
    <t>Chi cục Chăn nuôi và thú y tỉnh</t>
  </si>
  <si>
    <t>67</t>
  </si>
  <si>
    <t>68</t>
  </si>
  <si>
    <t>Trung tâm nước sinh hoạt và VS MT nông thôn</t>
  </si>
  <si>
    <t>69</t>
  </si>
  <si>
    <t>Ban quản lý dự án đầu tư xây dựng các CT nông nghiệp và PTNT</t>
  </si>
  <si>
    <t>70</t>
  </si>
  <si>
    <t>Quỹ phát triển đất</t>
  </si>
  <si>
    <t>71</t>
  </si>
  <si>
    <t>72</t>
  </si>
  <si>
    <t>73</t>
  </si>
  <si>
    <t>74</t>
  </si>
  <si>
    <t>75</t>
  </si>
  <si>
    <t xml:space="preserve">Ngân hàng chính sách xã hội tỉnh </t>
  </si>
  <si>
    <t>Quỹ bảo trì đường bộ</t>
  </si>
  <si>
    <t>Văn phòng Bảo hiểm xã hội tỉnh</t>
  </si>
  <si>
    <t>I.2</t>
  </si>
  <si>
    <t>CÁC HUYỆN, THÀNH PHỐ (Quyết toán tại ngân sách tỉnh, không bao gồm vốn đầu tư phân cấp NSH)</t>
  </si>
  <si>
    <t>UBND huyện Đăk Hà</t>
  </si>
  <si>
    <t>UBND huyện Đăk Tô</t>
  </si>
  <si>
    <t xml:space="preserve">UBND huyện Ngọc Hồi </t>
  </si>
  <si>
    <t>UBND huyện Kon Rẫy</t>
  </si>
  <si>
    <t xml:space="preserve">UBND huyện Kon PLông </t>
  </si>
  <si>
    <t>CHI KHÁC NGÂN SÁCH TỈNH</t>
  </si>
  <si>
    <t>Nguồn mua sắm sữa chữa tập trung</t>
  </si>
  <si>
    <t>KP sắp xếp bộ máy theo NQ 18, 19/CP và KP dự phòng cho số HĐLĐ 68</t>
  </si>
  <si>
    <t>Cấp vốn ủy thác, bù lãi suất theo NQ HĐND</t>
  </si>
  <si>
    <t>Lập các Quy hoạch chuyển tiếp</t>
  </si>
  <si>
    <t>CHI BỔ SUNG QUỸ DỰ TRỮ TÀI CHÍNH</t>
  </si>
  <si>
    <t>CHI DỰ PHÒNG NGÂN SÁCH</t>
  </si>
  <si>
    <t>VIII</t>
  </si>
  <si>
    <t>ĐVT: Triệu đồng</t>
  </si>
  <si>
    <t>QUYẾT TOÁN CHI NGÂN SÁCH ĐỊA PHƯƠNG TỪNG HUYỆN NĂM 2020</t>
  </si>
  <si>
    <t>(Kèm theo Nghị quyết số:          /NQ-HĐND ngày       tháng     năm 2021 của Hội đồng nhân dân tỉnh Kon Tum)</t>
  </si>
  <si>
    <t>QUYẾT TOÁN CHI BỔ SUNG TỪ NGÂN SÁCH CẤP TỈNH CHO NGÂN SÁCH TỪNG HUYỆN NĂM 2020</t>
  </si>
  <si>
    <t>DỰ TOÁN CHI NGÂN SÁCH CẤP TỈNH CHO TỪNG CƠ QUAN, TỔ CHỨC NĂM 2020</t>
  </si>
  <si>
    <t>Hội HN Việt Nam - lào, VN - Campuchia</t>
  </si>
  <si>
    <t>Hỗ trợ ĐV TƯ kết nghĩa xã NQ 04</t>
  </si>
  <si>
    <t>Kinh phí trực phục vụ Tết nguyên đán</t>
  </si>
  <si>
    <t>Công đoàn viên chức tỉnh</t>
  </si>
  <si>
    <t>Đại hội Đảng các cấp ở ĐP</t>
  </si>
  <si>
    <t xml:space="preserve">CHI NỘP TRẢ NGÂN SÁCH CẤP TRÊN </t>
  </si>
  <si>
    <t>Hội cựu giáo chức</t>
  </si>
  <si>
    <t>Đoàn Luật sư tỉnh</t>
  </si>
  <si>
    <t>Công ty TNHH MTV Cao su Chưmomray</t>
  </si>
  <si>
    <t>Công ty TNHH MTV Cao su Kon Tum</t>
  </si>
  <si>
    <t>Công ty Cổ phần Cao su Sa Thầy</t>
  </si>
  <si>
    <t>Ngành giáo dục - Đào tạo ngành Giáo dục</t>
  </si>
  <si>
    <t>Ngành Y tế</t>
  </si>
  <si>
    <t>Bộ chỉ huy BP; Quân sự, Công an tỉnh</t>
  </si>
  <si>
    <t>Chi thường xuyên theo hình thức Ghi thu Ghi chi vốn viện trợ và khác</t>
  </si>
  <si>
    <t>CHI BỔ SUNG QUỸ DỰ TRỮ TÀI CHÍNH, CHI BỔ SUNG CHO NGÂN SÁCH HUYỆN</t>
  </si>
  <si>
    <t>Huyện/ Thành phố</t>
  </si>
  <si>
    <t>QUYẾT TOÁN CÂN ĐỐI NGÂN SÁCH ĐỊA PHƯƠNG NĂM 2020</t>
  </si>
  <si>
    <t>Chi nguồn giao tăng thu so dự toán Trung ương giao</t>
  </si>
  <si>
    <t>Chi nộp NS cấp trên</t>
  </si>
  <si>
    <t>Sở Lao động TB &amp;XH</t>
  </si>
  <si>
    <t>Ủy ban mặt trận Tổ quốc Việt Nam tỉnh</t>
  </si>
  <si>
    <t>Tỉnh Đoàn</t>
  </si>
  <si>
    <t>Sở Thông tin và Truyền thông</t>
  </si>
  <si>
    <t>TP Kon Tum</t>
  </si>
  <si>
    <t>35=18/1</t>
  </si>
  <si>
    <t>36=19/2</t>
  </si>
  <si>
    <t>37=20/3</t>
  </si>
  <si>
    <t>38=21/4</t>
  </si>
  <si>
    <t>39=22/5</t>
  </si>
  <si>
    <t>40=23/6</t>
  </si>
  <si>
    <t>41=24/7</t>
  </si>
  <si>
    <t>45=25/8</t>
  </si>
  <si>
    <t>46=26/9</t>
  </si>
  <si>
    <t>47=27/10</t>
  </si>
  <si>
    <t>48=28/11</t>
  </si>
  <si>
    <t>49=29/12</t>
  </si>
  <si>
    <t>50=30/13</t>
  </si>
  <si>
    <t>51=31/14</t>
  </si>
  <si>
    <t>52=32/15</t>
  </si>
  <si>
    <t>53=33/16</t>
  </si>
  <si>
    <t>54=34/17</t>
  </si>
  <si>
    <t>Quỹ khám chữa bệnh người nghèo</t>
  </si>
  <si>
    <t>Tăng thu từ các dự án khai thác quỹ đất so với dự toán Trung ương giao (phân bổ chi đầu tư các dự án, nhiệm vụ theo tiến độ nguồn thu thực tế)</t>
  </si>
  <si>
    <t>Thu viện trợ, các khoản huy động, đóng góp</t>
  </si>
  <si>
    <t>QUYẾT TOÁN NGUỒN THU NGÂN SÁCH NHÀ NƯỚC TRÊN ĐỊA BÀN THEO LĨNH VỰC NĂM 2020</t>
  </si>
  <si>
    <t>Quỹ đầu tư phát triển</t>
  </si>
  <si>
    <t>Quỹ bảo vệ phát triển rừng</t>
  </si>
  <si>
    <t>Quỹ vì người nghèo</t>
  </si>
  <si>
    <t>Quỹ cứu trợ</t>
  </si>
  <si>
    <t>Quỹ hỗ trợ nạn nhân chất độc da cam/đioxin</t>
  </si>
  <si>
    <t>Quỹ vì người khuyết tật và trẻ em mồ côi</t>
  </si>
  <si>
    <t>Quỹ khuyến học</t>
  </si>
  <si>
    <t>Quỹ phòng chống thiên tai</t>
  </si>
  <si>
    <t>Quỹ đền ơn đáp nghĩa</t>
  </si>
  <si>
    <t>Quỹ bảo trợ trẻ em</t>
  </si>
  <si>
    <t>Quỹ phòng chống tội phạm</t>
  </si>
  <si>
    <t>Quỹ An ninh trật tự</t>
  </si>
  <si>
    <t>Quỹ hỗ trợ nông dân</t>
  </si>
  <si>
    <t>Quỹ hỗ trợ phát triển hợp tác xã</t>
  </si>
  <si>
    <t>Quỹ phát triển khoa học công nghệ</t>
  </si>
  <si>
    <t>NGOÀI NGÂN SÁCH DO ĐỊA PHƯƠNG QUẢN LÝ NĂM 2020</t>
  </si>
  <si>
    <t>Trường Chính trị tỉnh Kon Tum</t>
  </si>
  <si>
    <t>QUYẾT TOÁN CHI CHƯƠNG TRÌNH MỤC TIÊU QUỐC GIA NĂM 2020</t>
  </si>
  <si>
    <t>QUYẾT TOÁN CHI NGÂN SÁCH ĐỊA PHƯƠNG, CHI NGÂN SÁCH CẤP TỈNH VÀ CHI NGÂN SÁCH HUYỆN THEO CƠ CẤU CHI NĂM 2020</t>
  </si>
  <si>
    <t>Ngân sách cấp tỉnh</t>
  </si>
  <si>
    <t>Ngân sách huyện</t>
  </si>
  <si>
    <t xml:space="preserve">Ngân sách cấp tỉnh </t>
  </si>
  <si>
    <t xml:space="preserve">Ngân sách huyện </t>
  </si>
  <si>
    <t xml:space="preserve"> -</t>
  </si>
  <si>
    <t>Dự án giáo dục và đào tạo nhân lực y tế phục vụ cải cách hệ thống y tế, thực hiện ghi thu ghi chi theo tiến độ giải ngân và trong phạm vi dự toán được giao.</t>
  </si>
  <si>
    <t>Dự án  an ninh y tế khu vực tiểu vùng Mê Kông mở rộng, thực hiện ghi thu ghi chi theo tiến độ giải ngân và trong phạm vi dự toán được giao.</t>
  </si>
  <si>
    <t>Dự án chăm sóc sức khỏe nhân dân các tỉnh Tây Nguyên giai đoạn 2, thực hiện ghi thu ghi chi theo tiến độ giải ngân và trong phạm vi dự toán được giao.</t>
  </si>
  <si>
    <t>Chương trình mở rộng quy mô vệ sinh nước sạch nông thôn theo phương thức dựa trên kết quả, thực hiện ghi thu ghi chi theo tiến độ giải ngân và trong phạm vi dự toán được giao.</t>
  </si>
  <si>
    <t>Dự án hỗ trợ quản trị nhà nước tại địa phương trách nhiệm giải trình, đáp ứng được tại tỉnh Kon Tum,  thực hiện ghi thu ghi chi theo tiến độ giải ngân.</t>
  </si>
  <si>
    <t xml:space="preserve">Nguồn còn lại chưa phân bổ </t>
  </si>
  <si>
    <t xml:space="preserve">Hỗ trợ chi phí ăn trưa đối với trẻ em mẫu giáo và chính sách đối với giáo viên mầm non; Chính sách ưu tiên đối với học sinh mẫu giáo học sinh dân tộc rất ít người </t>
  </si>
  <si>
    <t>Hỗ trợ chi phí ăn trưa đối với trẻ em mẫu giáo và chính sách đối với giáo viên mầm non</t>
  </si>
  <si>
    <t xml:space="preserve">Chính sách ưu tiên đối với học sinh mẫu giáo học sinh dân tộc rất ít người </t>
  </si>
  <si>
    <t>Hỗ trợ kinh phí đào tạo cán bộ quân sự cấp xã; kinh phí đào tạo cán bộ cơ sở vùng Tây nguyên; kinh phí thực hiện đề án giảm thiểu hôn nhân cận huyết</t>
  </si>
  <si>
    <t>Kinh phí mua thẻ BHYT hộ cận nghèo, hộ nông lâm ngư nghiệp có mức sống trung bình, người hiến bộ phận cơ thể (Cấp KP trực tiếp về BHXH tỉnh)</t>
  </si>
  <si>
    <t>Hỗ trợ thực hiện chính sách đối với đối tượng bảo trợ xã hội; hỗ trợ tiền điện hộ nghèo, hộ chính sách xã hội; trợ giá trực tiếp cho người dân tộc thiểu số nghèo ở vùng khó khăn; hỗ trợ chính sách đối với người có uy tín trong đồng bào dân tộc thiểu số; hỗ trợ tổ chức, đơn vị sử dụng lao động là người dân tộc thiểu số;...</t>
  </si>
  <si>
    <t>Hỗ trợ kinh phí thực hiện đề án tăng cường công tác quản lý khai thác gỗ rừng tự nhiên giai đoạn 2014-2020</t>
  </si>
  <si>
    <t>Dự án hoàn thiện, hiện đại hóa hồ sơ, bản đồ địa giới hành chính</t>
  </si>
  <si>
    <t>Kinh phí quản lý, bảo trì đường bộ</t>
  </si>
  <si>
    <t>Đề án phát triển KTXH vùng dân tộc rất ít người; Kinh phí thực hiện Quyết định 2085,2086 của Thủ tướng Chính phủ</t>
  </si>
  <si>
    <t>Chương trình mục tiêu Y tế dân số</t>
  </si>
  <si>
    <t xml:space="preserve">Chương trình mục tiêu Phát triển văn hóa </t>
  </si>
  <si>
    <t>Chương trình mục tiêu tái cơ cấu kinh tế nông nghiệp và phòng chống giảm nhẹ thiên tai, ổn định đời sống dân cư</t>
  </si>
  <si>
    <t>TỔNG CỘNG</t>
  </si>
  <si>
    <t>*</t>
  </si>
  <si>
    <t>TỔNG CHI NGÂN SÁCH ĐỊA PHƯƠNG (BAO GỒM BỘI CHI NSĐP)</t>
  </si>
  <si>
    <t>A.1</t>
  </si>
  <si>
    <t>A.2</t>
  </si>
  <si>
    <t>Chi từ nguồn bội chi NSĐP</t>
  </si>
  <si>
    <t>Thu từ ngân sách cấp dưới nộp lên</t>
  </si>
  <si>
    <t>Vay của ngân sách địa phương</t>
  </si>
  <si>
    <t>Thu kết dư năm trước</t>
  </si>
  <si>
    <t>Giải ngân theo cơ chế tài chính trong nước</t>
  </si>
  <si>
    <t>Dự án cấp điện nông thôn từ lưới điện quốc gia tỉnh Kon Tum giai đoạn 2014 -2020</t>
  </si>
  <si>
    <t>Bổ sung cơ sở vật chất cho Trường Phổ thông dân tộc nội trú huyện Kon Plông</t>
  </si>
  <si>
    <t>Bổ sung cơ sở vật chất cho Trường Trung học phổ thông Phan Chu Trinh huyện Ngọc Hồi</t>
  </si>
  <si>
    <t>Thực hiện theo tiến độ GTGC</t>
  </si>
  <si>
    <t>Chương trình mở rộng quy mô nước sạch nông thôn dựa trên kết quả</t>
  </si>
  <si>
    <t>Dự án Sửa chữa và nâng cao an toán đập</t>
  </si>
  <si>
    <t>Tiểu dự án sửa chữa, nâng cấp hệ thống thủy lợi Kon Trang Kla, Đăk Trít và Hạ tầng nông thôn khu vực xã Đăk La</t>
  </si>
  <si>
    <t>Dự án chuyển đổi nông nghiệp bền vững trên địa bàn tỉnh Kon Tum (VnSat) giai đoạn 2015-2020</t>
  </si>
  <si>
    <t>2.</t>
  </si>
  <si>
    <t>Vay lại nguồn vốn nước ngoài để thực hiện dự án ODA</t>
  </si>
  <si>
    <t>3.</t>
  </si>
  <si>
    <t xml:space="preserve">3.1 </t>
  </si>
  <si>
    <t>Bổ sung các chương trình mục tiêu</t>
  </si>
  <si>
    <t>Chương trình phát triển kinh tế xã hội các vùng - NQ10 (CT 168)</t>
  </si>
  <si>
    <t xml:space="preserve">Chương trình cấp điện nông thôn miền núi và hải đảo </t>
  </si>
  <si>
    <t xml:space="preserve"> Chương trình mục tiêu Đầu tư hạ tầng khu kinh tế ven biển, Khu kinh tế cửa khẩu, Khu công nghiệp, công nghệ cao, khu nông nghiệp ứng dụng công nghệ cao</t>
  </si>
  <si>
    <t>Chương trình mục tiêu QP-AN trên địa bàn trọng điểm</t>
  </si>
  <si>
    <t>Hỗ trợ đồng bào miền núi theo Quyết định số 2085/QĐ-TTg</t>
  </si>
  <si>
    <t>Hỗ trợ đồng bào miền núi theo Quyết định số 2086/QĐ-TTg</t>
  </si>
  <si>
    <t>Nguồn dự phòng ngân sách Trung ương 2019_Dự án khẩn cấp</t>
  </si>
  <si>
    <t xml:space="preserve">Nguồn dự phòng ngân sách Trung ương 2019_Dự án khẩn cấp - Dự án phòng cháy chữa cháy rừng </t>
  </si>
  <si>
    <t xml:space="preserve">Nguồn dự phòng ngân sách Trung ương 2019 - các dự án cấp bách </t>
  </si>
  <si>
    <t>Nguồn dự phòng ngân sách Trung ương 2019 - các dự án cấp bách khác</t>
  </si>
  <si>
    <t xml:space="preserve">Dự phòng chung kế hoạch đầu tư công trung hạn giai đoạn 2016 - 2020 </t>
  </si>
  <si>
    <t xml:space="preserve">Nguồn dự phòng 10% kế hoạch trung hạn 2016-2020 thực hiện các chương trình mục tiêu </t>
  </si>
  <si>
    <t>Viện trợ không hoàn lại của chính phủ Ai Len</t>
  </si>
  <si>
    <t>Vốn Trái phiếu Chính phủ</t>
  </si>
  <si>
    <t>TPCP - Ngành giao thông</t>
  </si>
  <si>
    <t>TPCP - Ngành Giáo dục</t>
  </si>
  <si>
    <t>Ban quản lý dự án bảo vệ và Quản lý tổng hợp các hệ sinh thái rừng</t>
  </si>
  <si>
    <t>QBL DAGN khu vực Tây nguyên</t>
  </si>
  <si>
    <t xml:space="preserve">Ban quản lý Vườn quốc gia Chư Mom Ray </t>
  </si>
  <si>
    <t>Bệnh viện Y dược Cổ truyền - Phục hồi chức năng tỉnh Kon Tum</t>
  </si>
  <si>
    <t xml:space="preserve">Chi cục Kiểm lâm tỉnh </t>
  </si>
  <si>
    <t>Trung tâm kiểm soát bệnh tật tỉnh Kon Tum</t>
  </si>
  <si>
    <t>Trung tâm Phát triển Quỹ đất</t>
  </si>
  <si>
    <t>Các đơn vị khác không có mã số thụ hưởng ngân sách và vốn đầu tư chưa phân bổ chi tiết theo kế hoạch vốn giao đầu năm)</t>
  </si>
  <si>
    <t>Biểu số 53</t>
  </si>
  <si>
    <t>Biểu số 54</t>
  </si>
  <si>
    <r>
      <t xml:space="preserve">Ghi chú: </t>
    </r>
    <r>
      <rPr>
        <i/>
        <sz val="10"/>
        <rFont val="Times New Roman"/>
        <family val="1"/>
      </rPr>
      <t>(1) Theo quy định tại Điều 7, Điều 11 và Điều 39 Luật NSNN, ngân sách huyện, xã không có nhiệm vụ chi nghiên cứu khoa học và công nghệ, chi trả lãi vay, chi bổ sung quỹ dự trữ tài chính.</t>
    </r>
  </si>
  <si>
    <r>
      <t>Ghi chú:</t>
    </r>
    <r>
      <rPr>
        <i/>
        <sz val="10"/>
        <rFont val="Times New Roman"/>
        <family val="1"/>
      </rPr>
      <t xml:space="preserve"> (1) Ngân sách xã không có nhiệm vụ chi bổ sung cân đối cho ngân sách cấp dưới.</t>
    </r>
  </si>
  <si>
    <t>Hỗ trợ kinh phí mua thẻ BHYT cho các đối tượng (cựu chiến binh, thanh niên xung phong, bảo trợ xã hội, học sinh, sinh viên, hộ cận nghèo, hộ nông lâm ngư nghiệp có mức sống trung bình, người hiến bộ phận cơ thể người)</t>
  </si>
  <si>
    <t>Biểu số 61</t>
  </si>
  <si>
    <t>Sự nghiệp đào tạo và bồi dưỡng</t>
  </si>
  <si>
    <t>Khối huyện, thành phố</t>
  </si>
  <si>
    <t>1.5</t>
  </si>
  <si>
    <t>1.6</t>
  </si>
  <si>
    <t>1.7</t>
  </si>
  <si>
    <t>Sự nghiệp môi trường</t>
  </si>
  <si>
    <t>Sự nghiệp kinh tế và sự nghiệp khác</t>
  </si>
  <si>
    <t>5.4</t>
  </si>
  <si>
    <t>5.5</t>
  </si>
  <si>
    <t>5.6</t>
  </si>
  <si>
    <t>5.7</t>
  </si>
  <si>
    <t>Sự nghiệp truyền thanh truyền hình</t>
  </si>
  <si>
    <t>Sự nghiệp bảo đảm xã hội</t>
  </si>
  <si>
    <t>Trung tâm dịch vụ đấu giá tài sản</t>
  </si>
  <si>
    <t>Phòng Công chứng số 1</t>
  </si>
  <si>
    <t>Phòng Công chứng số 2</t>
  </si>
  <si>
    <t>Hào xong</t>
  </si>
  <si>
    <t xml:space="preserve">  </t>
  </si>
  <si>
    <t>Đất dự án khu trung tâm phường Ngô Mây, thành phố Kon Tum (1449)</t>
  </si>
  <si>
    <t>Tiền thuê đất trả tiền một lần thuộc Trung đoàn 66, Sư đoàn 10 (3605)</t>
  </si>
  <si>
    <t>Tiền sử dụng đất thuộc Trung đoàn 66, Sư đoàn 10 (1449)</t>
  </si>
  <si>
    <t>Tiền bán tài sản liền với đất thuộc Trung đoàn 66, Sư đoàn 10 (3365)</t>
  </si>
  <si>
    <t>TỔNG HỢP THU DỊCH VỤ CỦA ĐƠN VỊ SỰ NGHIỆP CÔNG NĂM 2020</t>
  </si>
  <si>
    <t>Biểu số 50</t>
  </si>
  <si>
    <t>QUYẾT TOÁN CHI NGÂN SÁCH CẤP TỈNH THEO LĨNH VỰC NĂM 2020</t>
  </si>
  <si>
    <t>QUYẾT TOÁN CHI NGÂN SÁCH CẤP TỈNH THEO CHO TỪNG CƠ QUAN, TỔ CHỨC NĂM 2020</t>
  </si>
  <si>
    <t>CHI NỌP TRẢ NGÂN SÁCH CẤP TRÊN</t>
  </si>
  <si>
    <t>Thu huy động, đóng góp</t>
  </si>
  <si>
    <t>Ghi chú: (1) Theo quy định tại Điều 7, Điều 11 và Điều 39 Luật NSNN, ngân sách huyện, xã không có nhiệm vụ chi nghiên cứu khoa học và công nghệ, trả lãi vay, chi bổ sung quỹ dự trữ tài chính, bội chi NSĐP, vay và trả nợ gốc vay.
             (2) Số quyết toán tăng so với số dự toán giao đầu năm là trong năm được cấp có thẩm quyền giao bổ sung từ nguồn Trung ương bổ sung có mục tiêu, nguồn năm trước chuyển sang, nguồn tăng thu NSĐP....</t>
  </si>
  <si>
    <t>Các CĐT khác</t>
  </si>
  <si>
    <t xml:space="preserve">CHI BỔ SUNG MỤC TIÊU CHO NGÂN SÁCH HUYỆN </t>
  </si>
  <si>
    <t>So sánh (2)</t>
  </si>
  <si>
    <t>So sánh (%) (2)</t>
  </si>
  <si>
    <t xml:space="preserve">                (2) Số quyết toán tăng so với số dự toán giao đầu năm là trong năm được cấp có thẩm quyền giao bổ sung từ nguồn Trung ương bổ sung có mục tiêu, nguồn năm trước chuyển sang, nguồn tăng thu NSĐP....</t>
  </si>
  <si>
    <t>Tương đối (%) (3)</t>
  </si>
  <si>
    <t>(3) Số quyết toán tăng so với số dự toán giao đầu năm là trong năm được cấp có thẩm quyền giao bổ sung từ nguồn Trung ương bổ sung có mục tiêu, nguồn năm trước chuyển sang, nguồn tăng thu NSĐP....</t>
  </si>
  <si>
    <t>Dự toán (4)</t>
  </si>
  <si>
    <t>Dự toán năm 2020 (2)</t>
  </si>
  <si>
    <t>Tổng chi cân đối NSĐP (bao gồm bội chi NSĐP)</t>
  </si>
  <si>
    <t>Tổng chi cân đối NSĐP</t>
  </si>
  <si>
    <t>Chi trả nợ gốc, lãi các khoản do chính quyền địa phương vay</t>
  </si>
  <si>
    <t>Trong đó: - Thuế BVMT thu từ hàng hóa sản xuất, kinh doanh trong nước</t>
  </si>
  <si>
    <t xml:space="preserve">                   - Thuế BVMT thu từ hàng hóa nhập khẩu</t>
  </si>
  <si>
    <t>VAY CỦA NGÂN SÁCH ĐỊA PHƯƠNG</t>
  </si>
  <si>
    <t>Địa phương vay từ nguồn cho vay lại của Chính phủ</t>
  </si>
  <si>
    <t>Hỗ trợ kinh phí đào tạo cán bộ quân sự cấp xã; kinh phí đào tạo cán bộ cơ sở vùng Tây nguyên;</t>
  </si>
  <si>
    <t>Bổ sung kinh phí thực hiện nhiệm vụ đảm bảo trật tự an toàn giao thông</t>
  </si>
  <si>
    <t>(4) Thuyết minh dự toán chi ngân sách tỉnh năm 2020: Tổng Dự toán chi ngân sách tỉnh theo Quyết định 1378/QĐ-UBND ngày 10/12/2019 là: 4.451.655 tr.đ; Điều chỉnh tăng dự toán chi ngân sách cấp tỉnh đầu năm tại văn bản 3421/UBND-KTTH ngày 23 tháng 12 năm 2019 của UBND tỉnh: 20.578 tr.đ</t>
  </si>
  <si>
    <t>Chi nộp ngân sách cấp trên</t>
  </si>
  <si>
    <t>CHI NỘP NGÂN SÁCH CẤP TRÊN</t>
  </si>
  <si>
    <t>Các đơn vị có vốn nhà nước nắm giữ 100% vốn điều lệ, các đơn vị sử dụng lao động là người DTTS, thực hiện đề án tăng cường công tác quản lý khai thác gỗ rừng tự nhiên giai đoạn 2014-2020</t>
  </si>
  <si>
    <t>Sở NN và PT nông thôn và các đơn vị trực thuộc</t>
  </si>
  <si>
    <t>Các nguồn tập trung ngân sách tỉnh chưa phân bổ đầu năm (phân bổ khi có nhiệm vụ phát sinh)</t>
  </si>
  <si>
    <t>CHI BỔ SUNG QUỸ DỰ TRỮ TÀI CHÍNH, CHI DỰ PHÒNG, CHI BSMT CHO NGÂN SÁCH HUYỆN</t>
  </si>
  <si>
    <t>Khối tỉnh</t>
  </si>
  <si>
    <r>
      <t xml:space="preserve">Trong đó: Hỗ trợ từ NSĐP </t>
    </r>
    <r>
      <rPr>
        <sz val="10"/>
        <rFont val="Times New Roman"/>
        <family val="1"/>
      </rPr>
      <t>(nếu có)</t>
    </r>
  </si>
  <si>
    <t>Sở Văn hóa TTDL</t>
  </si>
  <si>
    <t>Tỉnh đoàn (Trung tâm Văn hóa thể thao TTN)</t>
  </si>
  <si>
    <t>Ban quản lý rừng phòng hộ Thạch Nham</t>
  </si>
  <si>
    <t>Ban quản lý rừng phòng hộ Đăk Glei</t>
  </si>
  <si>
    <t>Ban quản lý rừng phòng hộ Tu Mơ Rông</t>
  </si>
  <si>
    <t>BQL rừng phòng hộ Đăk Hà</t>
  </si>
  <si>
    <t>Ban quản lý Khu bảo tồn thiên nhiên Ngọc Linh</t>
  </si>
  <si>
    <t>Ban quản lý cửa khẩu quốc tế Bờ Y</t>
  </si>
  <si>
    <t>Văn phòng UBND tỉnh</t>
  </si>
  <si>
    <t>Sở Tài nguyên-Môi trường</t>
  </si>
  <si>
    <t>Văn phòng Đăng ký đất đai</t>
  </si>
  <si>
    <t>Trung tâm Phát triển quỹ đất</t>
  </si>
  <si>
    <t>Trung tâm Dịch vụ việc làm</t>
  </si>
  <si>
    <t>Sự nghiệp bảo vệ môi trường</t>
  </si>
  <si>
    <t>Trung tâm quan trắc TNMT</t>
  </si>
  <si>
    <t>Huyện Tu Mơ Rông</t>
  </si>
  <si>
    <t xml:space="preserve">CHI TRẢ NỢ LÃI, GỐC VAY </t>
  </si>
  <si>
    <t xml:space="preserve">TỔNG SỐ </t>
  </si>
  <si>
    <t xml:space="preserve">                (2) Thuyết minh dự toán chi ngân sách tỉnh năm 2020: Tổng Dự toán chi ngân sách tỉnh theo Quyết định 1378/QĐ-UBND ngày 10/12/2019 là: 4.451.655 tr.đ; đính chính kế hoạch vốn Chương trình MTQG giảm nghèo bền vững tại văn bản 3421/UBND-KTTH ngày 23 tháng 12 năm 2019 của UBND tỉnh: 20.578 tr.đ</t>
  </si>
  <si>
    <t>CHI TRẢ NỢ GỐC, LÃI CÁC KHOẢN DO CHÍNH QUYỀN ĐỊA PHƯƠNG VAY</t>
  </si>
  <si>
    <r>
      <t xml:space="preserve">Chi trả nợ </t>
    </r>
    <r>
      <rPr>
        <b/>
        <sz val="10"/>
        <rFont val="Times New Roman"/>
        <family val="1"/>
      </rPr>
      <t>gốc,</t>
    </r>
    <r>
      <rPr>
        <b/>
        <sz val="10"/>
        <rFont val="Times New Roman"/>
        <family val="1"/>
        <charset val="163"/>
      </rPr>
      <t xml:space="preserve"> lãi các khoản do chính quyền địa phương vay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</si>
</sst>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2">
    <numFmt numFmtId="41" formatCode="_-* #,##0_-;\-* #,##0_-;_-* &quot;-&quot;_-;_-@_-"/>
    <numFmt numFmtId="43" formatCode="_-* #,##0.00_-;\-* #,##0.00_-;_-* &quot;-&quot;??_-;_-@_-"/>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 _₫_-;\-* #,##0\ _₫_-;_-* &quot;-&quot;\ _₫_-;_-@_-"/>
    <numFmt numFmtId="170" formatCode="_-* #,##0.00\ _₫_-;\-* #,##0.00\ _₫_-;_-* &quot;-&quot;??\ _₫_-;_-@_-"/>
    <numFmt numFmtId="171" formatCode="0.0"/>
    <numFmt numFmtId="172" formatCode="_(* #,##0.00_);_(* \(#,##0.00\);_(* \-??_);_(@_)"/>
    <numFmt numFmtId="173" formatCode="_(* #,##0_);_(* \(#,##0\);_(* &quot;-&quot;??_);_(@_)"/>
    <numFmt numFmtId="174" formatCode="_-* #,##0_-;\-* #,##0_-;_-* &quot;-&quot;??_-;_-@_-"/>
    <numFmt numFmtId="175" formatCode="_(* #,##0.0_);_(* \(#,##0.0\);_(* &quot;-&quot;??_);_(@_)"/>
    <numFmt numFmtId="176" formatCode="_-* #,##0\ _₫_-;\-* #,##0\ _₫_-;_-* &quot;-&quot;??\ _₫_-;_-@_-"/>
    <numFmt numFmtId="177" formatCode="#,##0_ ;\-#,##0\ "/>
    <numFmt numFmtId="178" formatCode="[&lt;=9999999][$-1000000]###\-####;[$-1000000]\(#\)\ ###\-####"/>
    <numFmt numFmtId="179" formatCode="_(* #,##0_);_(* \(#,##0\);_(* \-??_);_(@_)"/>
    <numFmt numFmtId="180" formatCode="_-&quot;$&quot;* #,##0_-;\-&quot;$&quot;* #,##0_-;_-&quot;$&quot;* &quot;-&quot;_-;_-@_-"/>
    <numFmt numFmtId="181" formatCode="_(&quot;£&quot;\ * #,##0_);_(&quot;£&quot;\ * \(#,##0\);_(&quot;£&quot;\ * &quot;-&quot;_);_(@_)"/>
    <numFmt numFmtId="182" formatCode="&quot;€&quot;###,0&quot;.&quot;00_);\(&quot;€&quot;###,0&quot;.&quot;00\)"/>
    <numFmt numFmtId="183" formatCode="&quot;\&quot;#,##0;[Red]&quot;\&quot;&quot;\&quot;\-#,##0"/>
    <numFmt numFmtId="184" formatCode="_-&quot;£&quot;* #,##0_-;\-&quot;£&quot;* #,##0_-;_-&quot;£&quot;* &quot;-&quot;_-;_-@_-"/>
    <numFmt numFmtId="185" formatCode="_-&quot;£&quot;* #,##0.00_-;\-&quot;£&quot;* #,##0.00_-;_-&quot;£&quot;* &quot;-&quot;??_-;_-@_-"/>
    <numFmt numFmtId="186" formatCode="#.##00"/>
    <numFmt numFmtId="187" formatCode="_-* #,##0\ &quot;€&quot;_-;\-* #,##0\ &quot;€&quot;_-;_-* &quot;-&quot;\ &quot;€&quot;_-;_-@_-"/>
    <numFmt numFmtId="188" formatCode="_-* #,##0\ _F_-;\-* #,##0\ _F_-;_-* &quot;-&quot;\ _F_-;_-@_-"/>
    <numFmt numFmtId="189" formatCode="_-* #,##0\ &quot;F&quot;_-;\-* #,##0\ &quot;F&quot;_-;_-* &quot;-&quot;\ &quot;F&quot;_-;_-@_-"/>
    <numFmt numFmtId="190" formatCode="_-* #,##0&quot;$&quot;_-;_-* #,##0&quot;$&quot;\-;_-* &quot;-&quot;&quot;$&quot;_-;_-@_-"/>
    <numFmt numFmtId="191" formatCode="_-* #,##0\ &quot;$&quot;_-;\-* #,##0\ &quot;$&quot;_-;_-* &quot;-&quot;\ &quot;$&quot;_-;_-@_-"/>
    <numFmt numFmtId="192" formatCode="_-&quot;$&quot;* #,##0.00_-;\-&quot;$&quot;* #,##0.00_-;_-&quot;$&quot;* &quot;-&quot;??_-;_-@_-"/>
    <numFmt numFmtId="193" formatCode="_-&quot;ñ&quot;* #,##0_-;\-&quot;ñ&quot;* #,##0_-;_-&quot;ñ&quot;* &quot;-&quot;_-;_-@_-"/>
    <numFmt numFmtId="194" formatCode="0.0000"/>
    <numFmt numFmtId="195" formatCode="_-&quot;€&quot;* #,##0_-;\-&quot;€&quot;* #,##0_-;_-&quot;€&quot;* &quot;-&quot;_-;_-@_-"/>
    <numFmt numFmtId="196" formatCode="_-* ###,0&quot;.&quot;00_-;\-* ###,0&quot;.&quot;00_-;_-* &quot;-&quot;??_-;_-@_-"/>
    <numFmt numFmtId="197" formatCode="_-* #,##0.00\ _F_-;\-* #,##0.00\ _F_-;_-* &quot;-&quot;??\ _F_-;_-@_-"/>
    <numFmt numFmtId="198" formatCode="_ * #,##0.00_ ;_ * \-#,##0.00_ ;_ * &quot;-&quot;??_ ;_ @_ "/>
    <numFmt numFmtId="199" formatCode="_-* #,##0.00\ _V_N_D_-;\-* #,##0.00\ _V_N_D_-;_-* &quot;-&quot;??\ _V_N_D_-;_-@_-"/>
    <numFmt numFmtId="200" formatCode="_-* #,##0.00\ _V_N_Ñ_-;_-* #,##0.00\ _V_N_Ñ\-;_-* &quot;-&quot;??\ _V_N_Ñ_-;_-@_-"/>
    <numFmt numFmtId="201" formatCode="_-* #,##0.00\ _€_-;\-* #,##0.00\ _€_-;_-* &quot;-&quot;??\ _€_-;_-@_-"/>
    <numFmt numFmtId="202" formatCode="_-* #,##0.00_$_-;_-* #,##0.00_$\-;_-* &quot;-&quot;??_$_-;_-@_-"/>
    <numFmt numFmtId="203" formatCode="_(* ###,0&quot;.&quot;00_);_(* \(###,0&quot;.&quot;00\);_(* &quot;-&quot;??_);_(@_)"/>
    <numFmt numFmtId="204" formatCode="&quot;£&quot;#,##0;[Red]\-&quot;£&quot;#,##0"/>
    <numFmt numFmtId="205" formatCode="_-* #,##0.00\ _ñ_-;\-* #,##0.00\ _ñ_-;_-* &quot;-&quot;??\ _ñ_-;_-@_-"/>
    <numFmt numFmtId="206" formatCode="0.00000"/>
    <numFmt numFmtId="207" formatCode="#,##0.00\ &quot;F&quot;;\-#,##0.00\ &quot;F&quot;"/>
    <numFmt numFmtId="208" formatCode="&quot;$&quot;#,##0;[Red]\-&quot;$&quot;#,##0"/>
    <numFmt numFmtId="209" formatCode="_(&quot;$&quot;\ * #,##0_);_(&quot;$&quot;\ * \(#,##0\);_(&quot;$&quot;\ * &quot;-&quot;_);_(@_)"/>
    <numFmt numFmtId="210" formatCode="&quot;$&quot;#,##0.00;[Red]\-&quot;$&quot;#,##0.00"/>
    <numFmt numFmtId="211" formatCode="_-* #,##0\ &quot;ñ&quot;_-;\-* #,##0\ &quot;ñ&quot;_-;_-* &quot;-&quot;\ &quot;ñ&quot;_-;_-@_-"/>
    <numFmt numFmtId="212" formatCode="0.0000000"/>
    <numFmt numFmtId="213" formatCode="#,##0.0"/>
    <numFmt numFmtId="214" formatCode="_(&quot;€&quot;* #,##0_);_(&quot;€&quot;* \(#,##0\);_(&quot;€&quot;* &quot;-&quot;_);_(@_)"/>
    <numFmt numFmtId="215" formatCode="_ * #,##0_ ;_ * \-#,##0_ ;_ * &quot;-&quot;_ ;_ @_ "/>
    <numFmt numFmtId="216" formatCode="_-* #,##0\ _V_N_D_-;\-* #,##0\ _V_N_D_-;_-* &quot;-&quot;\ _V_N_D_-;_-@_-"/>
    <numFmt numFmtId="217" formatCode="_-* #,##0\ _V_N_Ñ_-;_-* #,##0\ _V_N_Ñ\-;_-* &quot;-&quot;\ _V_N_Ñ_-;_-@_-"/>
    <numFmt numFmtId="218" formatCode="_-* #,##0\ _€_-;\-* #,##0\ _€_-;_-* &quot;-&quot;\ _€_-;_-@_-"/>
    <numFmt numFmtId="219" formatCode="_-* #,##0_$_-;_-* #,##0_$\-;_-* &quot;-&quot;_$_-;_-@_-"/>
    <numFmt numFmtId="220" formatCode="_-* #,##0\ _$_-;\-* #,##0\ _$_-;_-* &quot;-&quot;\ _$_-;_-@_-"/>
    <numFmt numFmtId="221" formatCode="_-* #,##0\ _m_k_-;\-* #,##0\ _m_k_-;_-* &quot;-&quot;\ _m_k_-;_-@_-"/>
    <numFmt numFmtId="222" formatCode="&quot;£&quot;#,##0;\-&quot;£&quot;#,##0"/>
    <numFmt numFmtId="223" formatCode="_-* #,##0\ _ñ_-;\-* #,##0\ _ñ_-;_-* &quot;-&quot;\ _ñ_-;_-@_-"/>
    <numFmt numFmtId="224" formatCode="0.000000"/>
    <numFmt numFmtId="225" formatCode="#,##0.0_);[Red]\(#,##0.0\)"/>
    <numFmt numFmtId="226" formatCode="_ &quot;\&quot;* #,##0_ ;_ &quot;\&quot;* \-#,##0_ ;_ &quot;\&quot;* &quot;-&quot;_ ;_ @_ "/>
    <numFmt numFmtId="227" formatCode="&quot;\&quot;#,##0.00;[Red]&quot;\&quot;\-#,##0.00"/>
    <numFmt numFmtId="228" formatCode="&quot;\&quot;#,##0;[Red]&quot;\&quot;\-#,##0"/>
    <numFmt numFmtId="229" formatCode="&quot;SFr.&quot;\ #,##0.00;[Red]&quot;SFr.&quot;\ \-#,##0.00"/>
    <numFmt numFmtId="230" formatCode="&quot;SFr.&quot;\ #,##0.00;&quot;SFr.&quot;\ \-#,##0.00"/>
    <numFmt numFmtId="231" formatCode="_ &quot;SFr.&quot;\ * #,##0_ ;_ &quot;SFr.&quot;\ * \-#,##0_ ;_ &quot;SFr.&quot;\ * &quot;-&quot;_ ;_ @_ "/>
    <numFmt numFmtId="232" formatCode="#,##0.0_);\(#,##0.0\)"/>
    <numFmt numFmtId="233" formatCode="_(* #,##0.0000_);_(* \(#,##0.0000\);_(* &quot;-&quot;??_);_(@_)"/>
    <numFmt numFmtId="234" formatCode="0.0%;[Red]\(0.0%\)"/>
    <numFmt numFmtId="235" formatCode="_ * #,##0.00_)&quot;£&quot;_ ;_ * \(#,##0.00\)&quot;£&quot;_ ;_ * &quot;-&quot;??_)&quot;£&quot;_ ;_ @_ "/>
    <numFmt numFmtId="236" formatCode="0.0%;\(0.0%\)"/>
    <numFmt numFmtId="237" formatCode="_-* #,##0.00\ &quot;F&quot;_-;\-* #,##0.00\ &quot;F&quot;_-;_-* &quot;-&quot;??\ &quot;F&quot;_-;_-@_-"/>
    <numFmt numFmtId="238" formatCode="0.000_)"/>
    <numFmt numFmtId="239" formatCode="_(* #,##0_);_(* \(#,##0\);_(* \-_);_(@_)"/>
    <numFmt numFmtId="240" formatCode="#,##0.00;[Red]#,##0.00"/>
    <numFmt numFmtId="241" formatCode="#,##0;\(#,##0\)"/>
    <numFmt numFmtId="242" formatCode="_ &quot;R&quot;\ * #,##0_ ;_ &quot;R&quot;\ * \-#,##0_ ;_ &quot;R&quot;\ * &quot;-&quot;_ ;_ @_ "/>
    <numFmt numFmtId="243" formatCode="\$#,##0\ ;&quot;($&quot;#,##0\)"/>
    <numFmt numFmtId="244" formatCode="\$#,##0\ ;\(\$#,##0\)"/>
    <numFmt numFmtId="245" formatCode="#,##0.000_);\(#,##0.000\)"/>
    <numFmt numFmtId="246" formatCode="\t0.00%"/>
    <numFmt numFmtId="247" formatCode="0.000"/>
    <numFmt numFmtId="248" formatCode="?\,???.??__;[Red]&quot;- &quot;?\,???.??__"/>
    <numFmt numFmtId="249" formatCode="?,???.??__;[Red]\-\ ?,???.??__;"/>
    <numFmt numFmtId="250" formatCode="\U\S\$#,##0.00;\(\U\S\$#,##0.00\)"/>
    <numFmt numFmtId="251" formatCode="_(\§\g\ #,##0_);_(\§\g\ \(#,##0\);_(\§\g\ &quot;-&quot;??_);_(@_)"/>
    <numFmt numFmtId="252" formatCode="_(\§\g\ #,##0_);_(\§\g\ \(#,##0\);_(\§\g\ &quot;-&quot;_);_(@_)"/>
    <numFmt numFmtId="253" formatCode="\t#\ ??/??"/>
    <numFmt numFmtId="254" formatCode="\§\g#,##0_);\(\§\g#,##0\)"/>
    <numFmt numFmtId="255" formatCode="_-&quot;VND&quot;* #,##0_-;\-&quot;VND&quot;* #,##0_-;_-&quot;VND&quot;* &quot;-&quot;_-;_-@_-"/>
    <numFmt numFmtId="256" formatCode="_(&quot;Rp&quot;* #,##0.00_);_(&quot;Rp&quot;* \(#,##0.00\);_(&quot;Rp&quot;* &quot;-&quot;??_);_(@_)"/>
    <numFmt numFmtId="257" formatCode="#,##0.00\ &quot;FB&quot;;[Red]\-#,##0.00\ &quot;FB&quot;"/>
    <numFmt numFmtId="258" formatCode="#,##0\ &quot;$&quot;;\-#,##0\ &quot;$&quot;"/>
    <numFmt numFmtId="259" formatCode="&quot;$&quot;#,##0;\-&quot;$&quot;#,##0"/>
    <numFmt numFmtId="260" formatCode="_-* #,##0\ _F_B_-;\-* #,##0\ _F_B_-;_-* &quot;-&quot;\ _F_B_-;_-@_-"/>
    <numFmt numFmtId="261" formatCode="_-[$€]* #,##0.00_-;\-[$€]* #,##0.00_-;_-[$€]* &quot;-&quot;??_-;_-@_-"/>
    <numFmt numFmtId="262" formatCode="&quot;öS&quot;\ #,##0;[Red]\-&quot;öS&quot;\ #,##0"/>
    <numFmt numFmtId="263" formatCode="&quot;Q&quot;#,##0_);\(&quot;Q&quot;#,##0\)"/>
    <numFmt numFmtId="264" formatCode="#,##0_);\-#,##0_)"/>
    <numFmt numFmtId="265" formatCode="#,###;\-#,###;&quot;&quot;;_(@_)"/>
    <numFmt numFmtId="266" formatCode="_(* #,##0.000000_);_(* \(#,##0.000000\);_(* &quot;-&quot;??_);_(@_)"/>
    <numFmt numFmtId="267" formatCode="#,##0\ &quot;$&quot;_);\(#,##0\ &quot;$&quot;\)"/>
    <numFmt numFmtId="268" formatCode="#,###"/>
    <numFmt numFmtId="269" formatCode="#,##0\ &quot;£&quot;_);[Red]\(#,##0\ &quot;£&quot;\)"/>
    <numFmt numFmtId="270" formatCode="&quot;£&quot;###,0&quot;.&quot;00_);[Red]\(&quot;£&quot;###,0&quot;.&quot;00\)"/>
    <numFmt numFmtId="271" formatCode="&quot;\&quot;#,##0;[Red]\-&quot;\&quot;#,##0"/>
    <numFmt numFmtId="272" formatCode="&quot;\&quot;#,##0.00;\-&quot;\&quot;#,##0.00"/>
    <numFmt numFmtId="273" formatCode="0#,###,#&quot;.&quot;00"/>
    <numFmt numFmtId="274" formatCode="_ * #,##0_)\ &quot;$&quot;_ ;_ * \(#,##0\)\ &quot;$&quot;_ ;_ * &quot;-&quot;_)\ &quot;$&quot;_ ;_ @_ "/>
    <numFmt numFmtId="275" formatCode="&quot;VND&quot;#,##0_);[Red]\(&quot;VND&quot;#,##0\)"/>
    <numFmt numFmtId="276" formatCode="_ * #,##0_)&quot; $&quot;_ ;_ * \(#,##0&quot;) $&quot;_ ;_ * \-_)&quot; $&quot;_ ;_ @_ "/>
    <numFmt numFmtId="277" formatCode="#,##0.00_);\-#,##0.00_)"/>
    <numFmt numFmtId="278" formatCode="#"/>
    <numFmt numFmtId="279" formatCode="#,##0.0000"/>
    <numFmt numFmtId="280" formatCode="&quot;¡Ì&quot;#,##0;[Red]\-&quot;¡Ì&quot;#,##0"/>
    <numFmt numFmtId="281" formatCode="#,##0.00\ &quot;F&quot;;[Red]\-#,##0.00\ &quot;F&quot;"/>
    <numFmt numFmtId="282" formatCode="#,##0.00&quot; F&quot;;[Red]\-#,##0.00&quot; F&quot;"/>
    <numFmt numFmtId="283" formatCode="_-* #,##0.0\ _F_-;\-* #,##0.0\ _F_-;_-* &quot;-&quot;??\ _F_-;_-@_-"/>
    <numFmt numFmtId="284" formatCode="#,##0.00\ \ "/>
    <numFmt numFmtId="285" formatCode="0.00000000"/>
    <numFmt numFmtId="286" formatCode="_ * #,##0.0_ ;_ * \-#,##0.0_ ;_ * &quot;-&quot;??_ ;_ @_ "/>
    <numFmt numFmtId="287" formatCode="#,##0.00\ \ \ \ "/>
    <numFmt numFmtId="288" formatCode="_(* #.##0.00_);_(* \(#.##0.00\);_(* &quot;-&quot;??_);_(@_)"/>
    <numFmt numFmtId="289" formatCode="###\ ###\ ##0"/>
    <numFmt numFmtId="290" formatCode="&quot;\&quot;#,##0;&quot;\&quot;\-#,##0"/>
    <numFmt numFmtId="291" formatCode="_-* ###,0&quot;.&quot;00\ _F_B_-;\-* ###,0&quot;.&quot;00\ _F_B_-;_-* &quot;-&quot;??\ _F_B_-;_-@_-"/>
    <numFmt numFmtId="292" formatCode="\\#,##0;[Red]&quot;-\&quot;#,##0"/>
    <numFmt numFmtId="293" formatCode="_ * #.##._ ;_ * \-#.##._ ;_ * &quot;-&quot;??_ ;_ @_ⴆ"/>
    <numFmt numFmtId="294" formatCode="#,##0\ &quot;F&quot;;\-#,##0\ &quot;F&quot;"/>
    <numFmt numFmtId="295" formatCode="#,##0\ &quot;F&quot;;[Red]\-#,##0\ &quot;F&quot;"/>
    <numFmt numFmtId="296" formatCode="_-* #,##0\ _F_-;\-* #,##0\ _F_-;_-* &quot;-&quot;??\ _F_-;_-@_-"/>
    <numFmt numFmtId="297" formatCode="#.00\ ##0"/>
    <numFmt numFmtId="298" formatCode="#.\ ##0"/>
    <numFmt numFmtId="299" formatCode="_-* #,##0\ &quot;DM&quot;_-;\-* #,##0\ &quot;DM&quot;_-;_-* &quot;-&quot;\ &quot;DM&quot;_-;_-@_-"/>
    <numFmt numFmtId="300" formatCode="_-* #,##0.00\ &quot;DM&quot;_-;\-* #,##0.00\ &quot;DM&quot;_-;_-* &quot;-&quot;??\ &quot;DM&quot;_-;_-@_-"/>
    <numFmt numFmtId="301" formatCode="#,##0.000"/>
    <numFmt numFmtId="302" formatCode="#,##0;[Red]#,##0"/>
    <numFmt numFmtId="303" formatCode="0.0%"/>
  </numFmts>
  <fonts count="258">
    <font>
      <sz val="11"/>
      <color theme="1"/>
      <name val="Arial"/>
      <family val="2"/>
      <scheme val="minor"/>
    </font>
    <font>
      <sz val="11"/>
      <color theme="1"/>
      <name val="Arial"/>
      <family val="2"/>
      <charset val="163"/>
      <scheme val="minor"/>
    </font>
    <font>
      <sz val="11"/>
      <color theme="1"/>
      <name val="Arial"/>
      <family val="2"/>
      <charset val="163"/>
      <scheme val="minor"/>
    </font>
    <font>
      <b/>
      <sz val="12"/>
      <color theme="1"/>
      <name val="Times New Roman"/>
      <family val="1"/>
    </font>
    <font>
      <sz val="12"/>
      <color theme="1"/>
      <name val="Times New Roman"/>
      <family val="1"/>
    </font>
    <font>
      <sz val="8"/>
      <name val="Arial"/>
      <family val="2"/>
    </font>
    <font>
      <b/>
      <sz val="10"/>
      <color rgb="FF000000"/>
      <name val="Times New Roman"/>
      <family val="1"/>
    </font>
    <font>
      <sz val="10"/>
      <color rgb="FF000000"/>
      <name val="Times New Roman"/>
      <family val="1"/>
    </font>
    <font>
      <i/>
      <sz val="10"/>
      <color rgb="FF000000"/>
      <name val="Times New Roman"/>
      <family val="1"/>
    </font>
    <font>
      <sz val="11"/>
      <color theme="1"/>
      <name val="Times New Roman"/>
      <family val="1"/>
    </font>
    <font>
      <b/>
      <i/>
      <sz val="10"/>
      <color rgb="FF000000"/>
      <name val="Times New Roman"/>
      <family val="1"/>
    </font>
    <font>
      <b/>
      <sz val="6"/>
      <color rgb="FF000000"/>
      <name val="Times New Roman"/>
      <family val="1"/>
    </font>
    <font>
      <sz val="11"/>
      <color theme="1"/>
      <name val="Arial"/>
      <family val="2"/>
      <scheme val="minor"/>
    </font>
    <font>
      <sz val="10"/>
      <name val="Arial"/>
      <family val="2"/>
    </font>
    <font>
      <sz val="10"/>
      <name val="Times New Roman"/>
      <family val="1"/>
    </font>
    <font>
      <b/>
      <sz val="10"/>
      <name val="Times New Roman"/>
      <family val="1"/>
    </font>
    <font>
      <sz val="10"/>
      <name val="Arial Narrow"/>
      <family val="2"/>
    </font>
    <font>
      <b/>
      <sz val="8"/>
      <color indexed="81"/>
      <name val="Tahoma"/>
      <family val="2"/>
    </font>
    <font>
      <sz val="8"/>
      <color indexed="81"/>
      <name val="Tahoma"/>
      <family val="2"/>
    </font>
    <font>
      <sz val="12"/>
      <color theme="1"/>
      <name val="Times New Roman"/>
      <family val="2"/>
    </font>
    <font>
      <sz val="11"/>
      <name val="Times New Roman"/>
      <family val="1"/>
    </font>
    <font>
      <i/>
      <sz val="11"/>
      <name val="Times New Roman"/>
      <family val="1"/>
    </font>
    <font>
      <sz val="12"/>
      <name val="VNI-Times"/>
    </font>
    <font>
      <sz val="12"/>
      <name val=".VnTime"/>
      <family val="2"/>
    </font>
    <font>
      <sz val="12"/>
      <name val="돋움체"/>
      <family val="3"/>
      <charset val="129"/>
    </font>
    <font>
      <sz val="12"/>
      <name val="VNtimes new roman"/>
      <family val="2"/>
    </font>
    <font>
      <sz val="12"/>
      <name val="Arial Narrow"/>
      <family val="2"/>
    </font>
    <font>
      <sz val="10"/>
      <name val=".VnTime"/>
      <family val="2"/>
    </font>
    <font>
      <sz val="10"/>
      <name val=".VnArial"/>
      <family val="2"/>
    </font>
    <font>
      <sz val="10"/>
      <name val="Helv"/>
      <family val="2"/>
    </font>
    <font>
      <sz val="12"/>
      <name val=".VnArial"/>
      <family val="2"/>
    </font>
    <font>
      <sz val="10"/>
      <name val="??"/>
      <family val="3"/>
      <charset val="129"/>
    </font>
    <font>
      <sz val="16"/>
      <name val="AngsanaUPC"/>
      <family val="3"/>
    </font>
    <font>
      <sz val="12"/>
      <name val="????"/>
      <family val="1"/>
      <charset val="136"/>
    </font>
    <font>
      <sz val="12"/>
      <name val="Courier"/>
      <family val="3"/>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3"/>
      <name val=".VnTime"/>
      <family val="2"/>
    </font>
    <font>
      <sz val="11"/>
      <name val="VNI-Aptima"/>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sz val="11"/>
      <color indexed="8"/>
      <name val="Calibri"/>
      <family val="2"/>
    </font>
    <font>
      <b/>
      <sz val="12"/>
      <color indexed="8"/>
      <name val=".VnBook-Antiqua"/>
      <family val="2"/>
    </font>
    <font>
      <i/>
      <sz val="12"/>
      <color indexed="8"/>
      <name val=".VnBook-Antiqua"/>
      <family val="2"/>
    </font>
    <font>
      <sz val="12"/>
      <color indexed="9"/>
      <name val="Arial Narrow"/>
      <family val="2"/>
    </font>
    <font>
      <sz val="11"/>
      <color indexed="9"/>
      <name val="Calibri"/>
      <family val="2"/>
    </font>
    <font>
      <sz val="14"/>
      <name val=".VnTime"/>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1"/>
      <color indexed="20"/>
      <name val="Calibri"/>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1"/>
      <color indexed="52"/>
      <name val="Calibri"/>
      <family val="2"/>
    </font>
    <font>
      <b/>
      <sz val="10"/>
      <name val="Helv"/>
    </font>
    <font>
      <b/>
      <sz val="12"/>
      <color indexed="9"/>
      <name val="Arial Narrow"/>
      <family val="2"/>
    </font>
    <font>
      <b/>
      <sz val="11"/>
      <color indexed="9"/>
      <name val="Calibri"/>
      <family val="2"/>
    </font>
    <font>
      <sz val="11"/>
      <name val="VNbook-Antiqua"/>
      <family val="2"/>
    </font>
    <font>
      <sz val="10"/>
      <name val="VNI-Aptima"/>
    </font>
    <font>
      <sz val="11"/>
      <name val="VNtimes new roman"/>
      <family val="2"/>
    </font>
    <font>
      <sz val="11"/>
      <name val="Tms Rmn"/>
    </font>
    <font>
      <sz val="10"/>
      <color indexed="8"/>
      <name val="Times New Roman"/>
      <family val="2"/>
    </font>
    <font>
      <sz val="11"/>
      <name val="UVnTime"/>
    </font>
    <font>
      <sz val="12"/>
      <name val="Times New Roman"/>
      <family val="1"/>
    </font>
    <font>
      <sz val="12"/>
      <color indexed="8"/>
      <name val="Times New Roman"/>
      <family val="2"/>
    </font>
    <font>
      <sz val="11"/>
      <color theme="1"/>
      <name val="Arial"/>
      <family val="2"/>
      <charset val="163"/>
      <scheme val="minor"/>
    </font>
    <font>
      <sz val="10"/>
      <name val="BERNHARD"/>
    </font>
    <font>
      <b/>
      <sz val="12"/>
      <name val="VNTime"/>
      <family val="2"/>
    </font>
    <font>
      <sz val="10"/>
      <name val="MS Serif"/>
      <family val="1"/>
    </font>
    <font>
      <b/>
      <sz val="11"/>
      <color indexed="63"/>
      <name val="Calibri"/>
      <family val="2"/>
    </font>
    <font>
      <sz val="11"/>
      <color indexed="62"/>
      <name val="Calibri"/>
      <family val="2"/>
    </font>
    <font>
      <b/>
      <sz val="12"/>
      <name val="VNTimeH"/>
      <family val="2"/>
    </font>
    <font>
      <b/>
      <sz val="15"/>
      <color indexed="56"/>
      <name val="Calibri"/>
      <family val="2"/>
    </font>
    <font>
      <b/>
      <sz val="13"/>
      <color indexed="56"/>
      <name val="Calibri"/>
      <family val="2"/>
    </font>
    <font>
      <b/>
      <sz val="11"/>
      <color indexed="56"/>
      <name val="Calibri"/>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sz val="11"/>
      <color indexed="17"/>
      <name val="Calibri"/>
      <family val="2"/>
    </font>
    <font>
      <b/>
      <sz val="11"/>
      <name val="Times New Roman"/>
      <family val="1"/>
    </font>
    <font>
      <sz val="10"/>
      <name val=".VnArialH"/>
      <family val="2"/>
    </font>
    <font>
      <b/>
      <sz val="12"/>
      <name val=".VnBook-AntiquaH"/>
      <family val="2"/>
    </font>
    <font>
      <b/>
      <u/>
      <sz val="13"/>
      <name val="VnTime"/>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4"/>
      <name val=".VnArialH"/>
      <family val="2"/>
    </font>
    <font>
      <sz val="12"/>
      <name val="Arial"/>
      <family val="2"/>
    </font>
    <font>
      <sz val="12"/>
      <color indexed="52"/>
      <name val="Arial Narrow"/>
      <family val="2"/>
    </font>
    <font>
      <sz val="11"/>
      <color indexed="52"/>
      <name val="Calibri"/>
      <family val="2"/>
    </font>
    <font>
      <sz val="8"/>
      <name val="VNarial"/>
      <family val="2"/>
    </font>
    <font>
      <b/>
      <sz val="11"/>
      <name val="Helv"/>
    </font>
    <font>
      <sz val="10"/>
      <name val=".VnAvant"/>
      <family val="2"/>
    </font>
    <font>
      <sz val="12"/>
      <color indexed="60"/>
      <name val="Arial Narrow"/>
      <family val="2"/>
    </font>
    <font>
      <sz val="11"/>
      <color indexed="60"/>
      <name val="Calibri"/>
      <family val="2"/>
    </font>
    <font>
      <sz val="7"/>
      <name val="Small Fonts"/>
      <family val="2"/>
    </font>
    <font>
      <b/>
      <sz val="12"/>
      <name val="VN-NTime"/>
    </font>
    <font>
      <sz val="12"/>
      <name val="???"/>
      <family val="1"/>
      <charset val="129"/>
    </font>
    <font>
      <sz val="12"/>
      <name val="바탕체"/>
      <family val="1"/>
      <charset val="129"/>
    </font>
    <font>
      <sz val="11"/>
      <color theme="1"/>
      <name val="Arial Narrow"/>
      <family val="2"/>
    </font>
    <font>
      <sz val="10"/>
      <color indexed="8"/>
      <name val="Arial Narrow"/>
      <family val="2"/>
    </font>
    <font>
      <sz val="11"/>
      <color indexed="8"/>
      <name val="Arial Narrow"/>
      <family val="2"/>
    </font>
    <font>
      <sz val="9"/>
      <name val="Arial"/>
      <family val="2"/>
    </font>
    <font>
      <sz val="12"/>
      <color indexed="8"/>
      <name val="Times New Roman"/>
      <family val="2"/>
      <charset val="163"/>
    </font>
    <font>
      <sz val="12"/>
      <color theme="1"/>
      <name val="Times New Roman"/>
      <family val="2"/>
      <charset val="163"/>
    </font>
    <font>
      <sz val="13"/>
      <name val="Times New Roman"/>
      <family val="1"/>
      <charset val="163"/>
    </font>
    <font>
      <sz val="12"/>
      <name val=".VnArial Narrow"/>
      <family val="2"/>
    </font>
    <font>
      <sz val="13"/>
      <color theme="1"/>
      <name val="Times New Roman"/>
      <family val="2"/>
    </font>
    <font>
      <sz val="11"/>
      <color indexed="8"/>
      <name val="Arial"/>
      <family val="2"/>
    </font>
    <font>
      <sz val="11"/>
      <color indexed="8"/>
      <name val="Helvetica Neue"/>
    </font>
    <font>
      <sz val="10"/>
      <name val="VNlucida sans"/>
      <family val="2"/>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sz val="8"/>
      <name val="Tms Rmn"/>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b/>
      <sz val="18"/>
      <color indexed="56"/>
      <name val="Cambria"/>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0"/>
      <name val=".VnArial Narrow"/>
      <family val="2"/>
    </font>
    <font>
      <sz val="9"/>
      <name val="VNswitzerlandCondensed"/>
      <family val="2"/>
    </font>
    <font>
      <sz val="11"/>
      <name val="VNI-Times"/>
    </font>
    <font>
      <sz val="11"/>
      <color indexed="10"/>
      <name val="Calibri"/>
      <family val="2"/>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4"/>
      <name val=".VnArial"/>
      <family val="2"/>
    </font>
    <font>
      <sz val="10"/>
      <name val=" "/>
      <family val="1"/>
      <charset val="136"/>
    </font>
    <font>
      <sz val="12"/>
      <color indexed="8"/>
      <name val="바탕체"/>
      <family val="3"/>
    </font>
    <font>
      <sz val="12"/>
      <name val="뼻뮝"/>
      <family val="1"/>
      <charset val="129"/>
    </font>
    <font>
      <sz val="10"/>
      <name val="명조"/>
      <family val="3"/>
      <charset val="129"/>
    </font>
    <font>
      <sz val="10"/>
      <name val="돋움체"/>
      <family val="3"/>
      <charset val="129"/>
    </font>
    <font>
      <b/>
      <sz val="10"/>
      <color theme="1"/>
      <name val="Times New Roman"/>
      <family val="1"/>
    </font>
    <font>
      <sz val="10"/>
      <color theme="1"/>
      <name val="Times New Roman"/>
      <family val="1"/>
    </font>
    <font>
      <b/>
      <sz val="11"/>
      <color theme="1"/>
      <name val="Times New Roman"/>
      <family val="1"/>
    </font>
    <font>
      <i/>
      <sz val="10"/>
      <name val="Times New Roman"/>
      <family val="1"/>
    </font>
    <font>
      <i/>
      <sz val="11"/>
      <color theme="1"/>
      <name val="Times New Roman"/>
      <family val="1"/>
    </font>
    <font>
      <sz val="10"/>
      <color rgb="FFFF0000"/>
      <name val="Times New Roman"/>
      <family val="1"/>
    </font>
    <font>
      <strike/>
      <sz val="13"/>
      <name val="Times New Roman"/>
      <family val="1"/>
    </font>
    <font>
      <b/>
      <sz val="14"/>
      <name val="Times New Roman"/>
      <family val="1"/>
    </font>
    <font>
      <sz val="14"/>
      <name val="Times New Roman"/>
      <family val="1"/>
    </font>
    <font>
      <sz val="13"/>
      <name val="Times New Roman"/>
      <family val="1"/>
    </font>
    <font>
      <b/>
      <sz val="12"/>
      <color rgb="FF000000"/>
      <name val="Times New Roman"/>
      <family val="1"/>
    </font>
    <font>
      <i/>
      <sz val="12"/>
      <color rgb="FF000000"/>
      <name val="Times New Roman"/>
      <family val="1"/>
    </font>
    <font>
      <i/>
      <sz val="12"/>
      <color rgb="FF7030A0"/>
      <name val="Times New Roman"/>
      <family val="1"/>
    </font>
    <font>
      <sz val="12"/>
      <color rgb="FF7030A0"/>
      <name val="Times New Roman"/>
      <family val="1"/>
    </font>
    <font>
      <sz val="14"/>
      <color theme="1"/>
      <name val="Times New Roman"/>
      <family val="1"/>
    </font>
    <font>
      <i/>
      <sz val="14"/>
      <name val="Times New Roman"/>
      <family val="1"/>
    </font>
    <font>
      <sz val="14"/>
      <color rgb="FFFF0000"/>
      <name val="Times New Roman"/>
      <family val="1"/>
    </font>
    <font>
      <sz val="11"/>
      <color rgb="FF7030A0"/>
      <name val="Times New Roman"/>
      <family val="1"/>
    </font>
    <font>
      <b/>
      <sz val="12"/>
      <name val="Times New Roman"/>
      <family val="1"/>
    </font>
    <font>
      <b/>
      <sz val="9"/>
      <name val="Times New Roman"/>
      <family val="1"/>
    </font>
    <font>
      <sz val="9"/>
      <name val="Times New Roman"/>
      <family val="1"/>
    </font>
    <font>
      <b/>
      <sz val="9"/>
      <color indexed="81"/>
      <name val="Tahoma"/>
      <family val="2"/>
    </font>
    <font>
      <i/>
      <sz val="10"/>
      <color theme="1"/>
      <name val="Times New Roman"/>
      <family val="1"/>
    </font>
    <font>
      <sz val="10"/>
      <name val="Times New Roman"/>
      <family val="1"/>
      <charset val="163"/>
    </font>
    <font>
      <sz val="8"/>
      <name val="Arial"/>
      <family val="2"/>
      <scheme val="minor"/>
    </font>
    <font>
      <sz val="11"/>
      <color rgb="FFFF0000"/>
      <name val="Times New Roman"/>
      <family val="1"/>
    </font>
    <font>
      <b/>
      <i/>
      <sz val="12"/>
      <name val="Times New Roman"/>
      <family val="1"/>
    </font>
    <font>
      <sz val="12"/>
      <color rgb="FFC00000"/>
      <name val="Times New Roman"/>
      <family val="1"/>
    </font>
    <font>
      <b/>
      <i/>
      <sz val="10"/>
      <name val="Times New Roman"/>
      <family val="1"/>
    </font>
    <font>
      <b/>
      <sz val="11"/>
      <name val="Times New Roman"/>
      <family val="1"/>
      <charset val="163"/>
    </font>
    <font>
      <sz val="11"/>
      <name val="Times New Roman"/>
      <family val="1"/>
      <charset val="163"/>
    </font>
    <font>
      <b/>
      <sz val="10"/>
      <name val="Times New Roman"/>
      <family val="1"/>
      <charset val="163"/>
    </font>
    <font>
      <b/>
      <i/>
      <sz val="10"/>
      <name val="Times New Roman"/>
      <family val="1"/>
      <charset val="163"/>
    </font>
    <font>
      <i/>
      <sz val="10"/>
      <name val="Times New Roman"/>
      <family val="1"/>
      <charset val="163"/>
    </font>
    <font>
      <b/>
      <sz val="13"/>
      <name val="Times New Roman"/>
      <family val="1"/>
    </font>
    <font>
      <i/>
      <sz val="13"/>
      <name val="Times New Roman"/>
      <family val="1"/>
    </font>
    <font>
      <sz val="11"/>
      <name val="Arial"/>
      <family val="2"/>
      <scheme val="minor"/>
    </font>
    <font>
      <b/>
      <i/>
      <sz val="11"/>
      <name val="Times New Roman"/>
      <family val="1"/>
    </font>
    <font>
      <b/>
      <sz val="10"/>
      <name val="Arial"/>
      <family val="2"/>
    </font>
    <font>
      <b/>
      <sz val="11"/>
      <name val="Arial"/>
      <family val="2"/>
      <scheme val="minor"/>
    </font>
  </fonts>
  <fills count="72">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55"/>
      </patternFill>
    </fill>
    <fill>
      <patternFill patternType="solid">
        <fgColor indexed="55"/>
        <bgColor indexed="23"/>
      </patternFill>
    </fill>
    <fill>
      <patternFill patternType="solid">
        <fgColor indexed="9"/>
        <bgColor indexed="9"/>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solid">
        <fgColor indexed="43"/>
        <bgColor indexed="26"/>
      </patternFill>
    </fill>
    <fill>
      <patternFill patternType="solid">
        <fgColor indexed="26"/>
        <bgColor indexed="9"/>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9"/>
        <bgColor indexed="10"/>
      </patternFill>
    </fill>
    <fill>
      <patternFill patternType="solid">
        <fgColor rgb="FFFFFF00"/>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right/>
      <top style="double">
        <color indexed="8"/>
      </top>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bottom style="hair">
        <color rgb="FF000000"/>
      </bottom>
      <diagonal/>
    </border>
    <border>
      <left style="thin">
        <color indexed="64"/>
      </left>
      <right style="thin">
        <color rgb="FF000000"/>
      </right>
      <top style="hair">
        <color rgb="FF000000"/>
      </top>
      <bottom style="thin">
        <color indexed="64"/>
      </bottom>
      <diagonal/>
    </border>
    <border>
      <left style="thin">
        <color rgb="FF000000"/>
      </left>
      <right style="thin">
        <color rgb="FF000000"/>
      </right>
      <top style="hair">
        <color rgb="FF000000"/>
      </top>
      <bottom style="thin">
        <color indexed="64"/>
      </bottom>
      <diagonal/>
    </border>
    <border>
      <left style="thin">
        <color auto="1"/>
      </left>
      <right style="thin">
        <color auto="1"/>
      </right>
      <top style="hair">
        <color auto="1"/>
      </top>
      <bottom style="hair">
        <color auto="1"/>
      </bottom>
      <diagonal/>
    </border>
  </borders>
  <cellStyleXfs count="2269">
    <xf numFmtId="0" fontId="0" fillId="0" borderId="0"/>
    <xf numFmtId="168" fontId="12" fillId="0" borderId="0" applyFont="0" applyFill="0" applyBorder="0" applyAlignment="0" applyProtection="0"/>
    <xf numFmtId="172" fontId="13" fillId="0" borderId="0" applyFill="0" applyBorder="0" applyAlignment="0" applyProtection="0"/>
    <xf numFmtId="168" fontId="13" fillId="0" borderId="0" applyFont="0" applyFill="0" applyBorder="0" applyAlignment="0" applyProtection="0"/>
    <xf numFmtId="0" fontId="13" fillId="0" borderId="0"/>
    <xf numFmtId="170" fontId="12" fillId="0" borderId="0" applyFont="0" applyFill="0" applyBorder="0" applyAlignment="0" applyProtection="0"/>
    <xf numFmtId="0" fontId="13" fillId="0" borderId="0"/>
    <xf numFmtId="0" fontId="19" fillId="0" borderId="0"/>
    <xf numFmtId="0" fontId="19" fillId="0" borderId="0"/>
    <xf numFmtId="172" fontId="13" fillId="0" borderId="0" applyFill="0" applyBorder="0" applyAlignment="0" applyProtection="0"/>
    <xf numFmtId="180" fontId="22" fillId="0" borderId="0" applyFont="0" applyFill="0" applyBorder="0" applyAlignment="0" applyProtection="0"/>
    <xf numFmtId="0" fontId="23" fillId="0" borderId="0" applyNumberFormat="0" applyFill="0" applyBorder="0" applyAlignment="0" applyProtection="0"/>
    <xf numFmtId="3" fontId="24" fillId="0" borderId="1"/>
    <xf numFmtId="3" fontId="24" fillId="0" borderId="1"/>
    <xf numFmtId="3" fontId="24" fillId="0" borderId="1"/>
    <xf numFmtId="3" fontId="24" fillId="0" borderId="1"/>
    <xf numFmtId="3" fontId="24" fillId="0" borderId="1"/>
    <xf numFmtId="3" fontId="24" fillId="0" borderId="1"/>
    <xf numFmtId="173" fontId="25" fillId="0" borderId="20" applyFont="0" applyBorder="0"/>
    <xf numFmtId="173" fontId="25" fillId="0" borderId="20" applyFont="0" applyBorder="0"/>
    <xf numFmtId="179" fontId="26" fillId="0" borderId="0" applyBorder="0"/>
    <xf numFmtId="173" fontId="25" fillId="0" borderId="20" applyFont="0" applyBorder="0"/>
    <xf numFmtId="173" fontId="25" fillId="0" borderId="20" applyFont="0" applyBorder="0"/>
    <xf numFmtId="0" fontId="27" fillId="0" borderId="0"/>
    <xf numFmtId="181" fontId="2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2" fontId="14" fillId="0" borderId="0" applyFont="0" applyFill="0" applyBorder="0" applyAlignment="0" applyProtection="0"/>
    <xf numFmtId="183" fontId="1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0" fillId="0" borderId="0" applyFont="0" applyFill="0" applyBorder="0" applyAlignment="0" applyProtection="0"/>
    <xf numFmtId="0" fontId="31" fillId="0" borderId="21"/>
    <xf numFmtId="184" fontId="32" fillId="0" borderId="0" applyFont="0" applyFill="0" applyBorder="0" applyAlignment="0" applyProtection="0"/>
    <xf numFmtId="185" fontId="32" fillId="0" borderId="0" applyFont="0" applyFill="0" applyBorder="0" applyAlignment="0" applyProtection="0"/>
    <xf numFmtId="186" fontId="27"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164" fontId="34" fillId="0" borderId="0" applyFont="0" applyFill="0" applyBorder="0" applyAlignment="0" applyProtection="0"/>
    <xf numFmtId="0" fontId="35"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6" fillId="0" borderId="0"/>
    <xf numFmtId="0" fontId="13" fillId="0" borderId="0" applyNumberFormat="0" applyFill="0" applyBorder="0" applyAlignment="0" applyProtection="0"/>
    <xf numFmtId="41" fontId="23" fillId="0" borderId="0" applyFont="0" applyFill="0" applyBorder="0" applyAlignment="0" applyProtection="0"/>
    <xf numFmtId="165" fontId="37" fillId="0" borderId="0" applyFont="0" applyFill="0" applyBorder="0" applyAlignment="0" applyProtection="0"/>
    <xf numFmtId="187" fontId="37" fillId="0" borderId="0" applyFont="0" applyFill="0" applyBorder="0" applyAlignment="0" applyProtection="0"/>
    <xf numFmtId="187" fontId="37" fillId="0" borderId="0" applyFont="0" applyFill="0" applyBorder="0" applyAlignment="0" applyProtection="0"/>
    <xf numFmtId="0" fontId="38" fillId="0" borderId="0"/>
    <xf numFmtId="0" fontId="38" fillId="0" borderId="0"/>
    <xf numFmtId="0" fontId="38" fillId="0" borderId="0"/>
    <xf numFmtId="188" fontId="23" fillId="0" borderId="0" applyFont="0" applyFill="0" applyBorder="0" applyAlignment="0" applyProtection="0"/>
    <xf numFmtId="165" fontId="37" fillId="0" borderId="0" applyFont="0" applyFill="0" applyBorder="0" applyAlignment="0" applyProtection="0"/>
    <xf numFmtId="0" fontId="38" fillId="0" borderId="0"/>
    <xf numFmtId="0" fontId="29" fillId="0" borderId="0"/>
    <xf numFmtId="0" fontId="39" fillId="0" borderId="0">
      <alignment vertical="top"/>
    </xf>
    <xf numFmtId="0" fontId="39" fillId="0" borderId="0">
      <alignment vertical="top"/>
    </xf>
    <xf numFmtId="165" fontId="37" fillId="0" borderId="0" applyFont="0" applyFill="0" applyBorder="0" applyAlignment="0" applyProtection="0"/>
    <xf numFmtId="189" fontId="22" fillId="0" borderId="0" applyFont="0" applyFill="0" applyBorder="0" applyAlignment="0" applyProtection="0"/>
    <xf numFmtId="190" fontId="37" fillId="0" borderId="0" applyFont="0" applyFill="0" applyBorder="0" applyAlignment="0" applyProtection="0"/>
    <xf numFmtId="191" fontId="37" fillId="0" borderId="0" applyFont="0" applyFill="0" applyBorder="0" applyAlignment="0" applyProtection="0"/>
    <xf numFmtId="190" fontId="37" fillId="0" borderId="0" applyFont="0" applyFill="0" applyBorder="0" applyAlignment="0" applyProtection="0"/>
    <xf numFmtId="189" fontId="22" fillId="0" borderId="0" applyFont="0" applyFill="0" applyBorder="0" applyAlignment="0" applyProtection="0"/>
    <xf numFmtId="0" fontId="29" fillId="0" borderId="0"/>
    <xf numFmtId="0" fontId="27" fillId="0" borderId="0" applyNumberFormat="0" applyFill="0" applyBorder="0" applyAlignment="0" applyProtection="0"/>
    <xf numFmtId="0" fontId="27" fillId="0" borderId="0" applyNumberFormat="0" applyFill="0" applyBorder="0" applyAlignment="0" applyProtection="0"/>
    <xf numFmtId="189" fontId="22" fillId="0" borderId="0" applyFont="0" applyFill="0" applyBorder="0" applyAlignment="0" applyProtection="0"/>
    <xf numFmtId="0" fontId="29" fillId="0" borderId="0"/>
    <xf numFmtId="0" fontId="39" fillId="0" borderId="0">
      <alignment vertical="top"/>
    </xf>
    <xf numFmtId="0" fontId="39" fillId="0" borderId="0">
      <alignment vertical="top"/>
    </xf>
    <xf numFmtId="165" fontId="37" fillId="0" borderId="0" applyFont="0" applyFill="0" applyBorder="0" applyAlignment="0" applyProtection="0"/>
    <xf numFmtId="165" fontId="37"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0"/>
    <xf numFmtId="0" fontId="29" fillId="0" borderId="0"/>
    <xf numFmtId="0" fontId="29"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xf numFmtId="0" fontId="29" fillId="0" borderId="0"/>
    <xf numFmtId="0" fontId="38" fillId="0" borderId="0"/>
    <xf numFmtId="165" fontId="37" fillId="0" borderId="0" applyFont="0" applyFill="0" applyBorder="0" applyAlignment="0" applyProtection="0"/>
    <xf numFmtId="174" fontId="22" fillId="0" borderId="0" applyFont="0" applyFill="0" applyBorder="0" applyAlignment="0" applyProtection="0"/>
    <xf numFmtId="184" fontId="37" fillId="0" borderId="0" applyFont="0" applyFill="0" applyBorder="0" applyAlignment="0" applyProtection="0"/>
    <xf numFmtId="184" fontId="22" fillId="0" borderId="0" applyFont="0" applyFill="0" applyBorder="0" applyAlignment="0" applyProtection="0"/>
    <xf numFmtId="180" fontId="22" fillId="0" borderId="0" applyFont="0" applyFill="0" applyBorder="0" applyAlignment="0" applyProtection="0"/>
    <xf numFmtId="180" fontId="22" fillId="0" borderId="0" applyFont="0" applyFill="0" applyBorder="0" applyAlignment="0" applyProtection="0"/>
    <xf numFmtId="192" fontId="41"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4" fontId="13" fillId="0" borderId="0" applyFont="0" applyFill="0" applyBorder="0" applyAlignment="0" applyProtection="0"/>
    <xf numFmtId="194" fontId="41" fillId="0" borderId="0" applyFont="0" applyFill="0" applyBorder="0" applyAlignment="0" applyProtection="0"/>
    <xf numFmtId="193" fontId="22" fillId="0" borderId="0" applyFont="0" applyFill="0" applyBorder="0" applyAlignment="0" applyProtection="0"/>
    <xf numFmtId="192" fontId="41" fillId="0" borderId="0" applyFont="0" applyFill="0" applyBorder="0" applyAlignment="0" applyProtection="0"/>
    <xf numFmtId="195" fontId="22" fillId="0" borderId="0" applyFont="0" applyFill="0" applyBorder="0" applyAlignment="0" applyProtection="0"/>
    <xf numFmtId="180"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97" fontId="37" fillId="0" borderId="0" applyFont="0" applyFill="0" applyBorder="0" applyAlignment="0" applyProtection="0"/>
    <xf numFmtId="170" fontId="37" fillId="0" borderId="0" applyFont="0" applyFill="0" applyBorder="0" applyAlignment="0" applyProtection="0"/>
    <xf numFmtId="198" fontId="37" fillId="0" borderId="0" applyFont="0" applyFill="0" applyBorder="0" applyAlignment="0" applyProtection="0"/>
    <xf numFmtId="199" fontId="37" fillId="0" borderId="0" applyFont="0" applyFill="0" applyBorder="0" applyAlignment="0" applyProtection="0"/>
    <xf numFmtId="197" fontId="37" fillId="0" borderId="0" applyFont="0" applyFill="0" applyBorder="0" applyAlignment="0" applyProtection="0"/>
    <xf numFmtId="199"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97" fontId="37" fillId="0" borderId="0" applyFont="0" applyFill="0" applyBorder="0" applyAlignment="0" applyProtection="0"/>
    <xf numFmtId="198" fontId="37" fillId="0" borderId="0" applyFont="0" applyFill="0" applyBorder="0" applyAlignment="0" applyProtection="0"/>
    <xf numFmtId="20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98" fontId="37" fillId="0" borderId="0" applyFont="0" applyFill="0" applyBorder="0" applyAlignment="0" applyProtection="0"/>
    <xf numFmtId="201" fontId="37" fillId="0" borderId="0" applyFont="0" applyFill="0" applyBorder="0" applyAlignment="0" applyProtection="0"/>
    <xf numFmtId="199" fontId="37" fillId="0" borderId="0" applyFont="0" applyFill="0" applyBorder="0" applyAlignment="0" applyProtection="0"/>
    <xf numFmtId="202" fontId="37" fillId="0" borderId="0" applyFont="0" applyFill="0" applyBorder="0" applyAlignment="0" applyProtection="0"/>
    <xf numFmtId="202" fontId="37" fillId="0" borderId="0" applyFont="0" applyFill="0" applyBorder="0" applyAlignment="0" applyProtection="0"/>
    <xf numFmtId="198" fontId="37" fillId="0" borderId="0" applyFont="0" applyFill="0" applyBorder="0" applyAlignment="0" applyProtection="0"/>
    <xf numFmtId="197" fontId="37" fillId="0" borderId="0" applyFont="0" applyFill="0" applyBorder="0" applyAlignment="0" applyProtection="0"/>
    <xf numFmtId="197" fontId="37" fillId="0" borderId="0" applyFont="0" applyFill="0" applyBorder="0" applyAlignment="0" applyProtection="0"/>
    <xf numFmtId="170" fontId="37" fillId="0" borderId="0" applyFont="0" applyFill="0" applyBorder="0" applyAlignment="0" applyProtection="0"/>
    <xf numFmtId="199" fontId="37" fillId="0" borderId="0" applyFont="0" applyFill="0" applyBorder="0" applyAlignment="0" applyProtection="0"/>
    <xf numFmtId="170" fontId="37" fillId="0" borderId="0" applyFont="0" applyFill="0" applyBorder="0" applyAlignment="0" applyProtection="0"/>
    <xf numFmtId="197"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201" fontId="37" fillId="0" borderId="0" applyFont="0" applyFill="0" applyBorder="0" applyAlignment="0" applyProtection="0"/>
    <xf numFmtId="201" fontId="37" fillId="0" borderId="0" applyFont="0" applyFill="0" applyBorder="0" applyAlignment="0" applyProtection="0"/>
    <xf numFmtId="197" fontId="37" fillId="0" borderId="0" applyFont="0" applyFill="0" applyBorder="0" applyAlignment="0" applyProtection="0"/>
    <xf numFmtId="203" fontId="37" fillId="0" borderId="0" applyFont="0" applyFill="0" applyBorder="0" applyAlignment="0" applyProtection="0"/>
    <xf numFmtId="170" fontId="37" fillId="0" borderId="0" applyFont="0" applyFill="0" applyBorder="0" applyAlignment="0" applyProtection="0"/>
    <xf numFmtId="199" fontId="37" fillId="0" borderId="0" applyFont="0" applyFill="0" applyBorder="0" applyAlignment="0" applyProtection="0"/>
    <xf numFmtId="204" fontId="22" fillId="0" borderId="0" applyFont="0" applyFill="0" applyBorder="0" applyAlignment="0" applyProtection="0"/>
    <xf numFmtId="197"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97" fontId="37" fillId="0" borderId="0" applyFont="0" applyFill="0" applyBorder="0" applyAlignment="0" applyProtection="0"/>
    <xf numFmtId="199" fontId="37" fillId="0" borderId="0" applyFont="0" applyFill="0" applyBorder="0" applyAlignment="0" applyProtection="0"/>
    <xf numFmtId="197" fontId="37" fillId="0" borderId="0" applyFont="0" applyFill="0" applyBorder="0" applyAlignment="0" applyProtection="0"/>
    <xf numFmtId="41" fontId="41" fillId="0" borderId="0" applyFont="0" applyFill="0" applyBorder="0" applyAlignment="0" applyProtection="0"/>
    <xf numFmtId="205" fontId="37" fillId="0" borderId="0" applyFont="0" applyFill="0" applyBorder="0" applyAlignment="0" applyProtection="0"/>
    <xf numFmtId="205" fontId="37" fillId="0" borderId="0" applyFont="0" applyFill="0" applyBorder="0" applyAlignment="0" applyProtection="0"/>
    <xf numFmtId="206" fontId="13" fillId="0" borderId="0" applyFont="0" applyFill="0" applyBorder="0" applyAlignment="0" applyProtection="0"/>
    <xf numFmtId="43" fontId="41" fillId="0" borderId="0" applyFont="0" applyFill="0" applyBorder="0" applyAlignment="0" applyProtection="0"/>
    <xf numFmtId="205" fontId="37" fillId="0" borderId="0" applyFont="0" applyFill="0" applyBorder="0" applyAlignment="0" applyProtection="0"/>
    <xf numFmtId="41" fontId="41" fillId="0" borderId="0" applyFont="0" applyFill="0" applyBorder="0" applyAlignment="0" applyProtection="0"/>
    <xf numFmtId="207" fontId="42" fillId="0" borderId="0" applyFont="0" applyFill="0" applyBorder="0" applyAlignment="0" applyProtection="0"/>
    <xf numFmtId="203" fontId="37" fillId="0" borderId="0" applyFont="0" applyFill="0" applyBorder="0" applyAlignment="0" applyProtection="0"/>
    <xf numFmtId="19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70" fontId="37" fillId="0" borderId="0" applyFont="0" applyFill="0" applyBorder="0" applyAlignment="0" applyProtection="0"/>
    <xf numFmtId="199" fontId="37" fillId="0" borderId="0" applyFont="0" applyFill="0" applyBorder="0" applyAlignment="0" applyProtection="0"/>
    <xf numFmtId="41" fontId="22" fillId="0" borderId="0" applyFont="0" applyFill="0" applyBorder="0" applyAlignment="0" applyProtection="0"/>
    <xf numFmtId="184" fontId="37" fillId="0" borderId="0" applyFont="0" applyFill="0" applyBorder="0" applyAlignment="0" applyProtection="0"/>
    <xf numFmtId="189" fontId="22" fillId="0" borderId="0" applyFont="0" applyFill="0" applyBorder="0" applyAlignment="0" applyProtection="0"/>
    <xf numFmtId="190" fontId="37" fillId="0" borderId="0" applyFont="0" applyFill="0" applyBorder="0" applyAlignment="0" applyProtection="0"/>
    <xf numFmtId="191" fontId="37" fillId="0" borderId="0" applyFont="0" applyFill="0" applyBorder="0" applyAlignment="0" applyProtection="0"/>
    <xf numFmtId="190" fontId="37"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65" fontId="37" fillId="0" borderId="0" applyFont="0" applyFill="0" applyBorder="0" applyAlignment="0" applyProtection="0"/>
    <xf numFmtId="174" fontId="22" fillId="0" borderId="0" applyFont="0" applyFill="0" applyBorder="0" applyAlignment="0" applyProtection="0"/>
    <xf numFmtId="165" fontId="37" fillId="0" borderId="0" applyFont="0" applyFill="0" applyBorder="0" applyAlignment="0" applyProtection="0"/>
    <xf numFmtId="190" fontId="37"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1" fontId="37" fillId="0" borderId="0" applyFont="0" applyFill="0" applyBorder="0" applyAlignment="0" applyProtection="0"/>
    <xf numFmtId="189" fontId="22" fillId="0" borderId="0" applyFont="0" applyFill="0" applyBorder="0" applyAlignment="0" applyProtection="0"/>
    <xf numFmtId="208" fontId="41" fillId="0" borderId="0" applyFont="0" applyFill="0" applyBorder="0" applyAlignment="0" applyProtection="0"/>
    <xf numFmtId="209" fontId="37" fillId="0" borderId="0" applyFont="0" applyFill="0" applyBorder="0" applyAlignment="0" applyProtection="0"/>
    <xf numFmtId="209" fontId="37" fillId="0" borderId="0" applyFont="0" applyFill="0" applyBorder="0" applyAlignment="0" applyProtection="0"/>
    <xf numFmtId="210" fontId="41" fillId="0" borderId="0" applyFont="0" applyFill="0" applyBorder="0" applyAlignment="0" applyProtection="0"/>
    <xf numFmtId="209" fontId="37" fillId="0" borderId="0" applyFont="0" applyFill="0" applyBorder="0" applyAlignment="0" applyProtection="0"/>
    <xf numFmtId="208" fontId="41" fillId="0" borderId="0" applyFont="0" applyFill="0" applyBorder="0" applyAlignment="0" applyProtection="0"/>
    <xf numFmtId="20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210" fontId="41" fillId="0" borderId="0" applyFont="0" applyFill="0" applyBorder="0" applyAlignment="0" applyProtection="0"/>
    <xf numFmtId="211" fontId="37" fillId="0" borderId="0" applyFont="0" applyFill="0" applyBorder="0" applyAlignment="0" applyProtection="0"/>
    <xf numFmtId="211" fontId="37" fillId="0" borderId="0" applyFont="0" applyFill="0" applyBorder="0" applyAlignment="0" applyProtection="0"/>
    <xf numFmtId="212" fontId="13" fillId="0" borderId="0" applyFont="0" applyFill="0" applyBorder="0" applyAlignment="0" applyProtection="0"/>
    <xf numFmtId="41" fontId="41" fillId="0" borderId="0" applyFont="0" applyFill="0" applyBorder="0" applyAlignment="0" applyProtection="0"/>
    <xf numFmtId="211" fontId="37" fillId="0" borderId="0" applyFont="0" applyFill="0" applyBorder="0" applyAlignment="0" applyProtection="0"/>
    <xf numFmtId="210" fontId="41" fillId="0" borderId="0" applyFont="0" applyFill="0" applyBorder="0" applyAlignment="0" applyProtection="0"/>
    <xf numFmtId="213" fontId="42" fillId="0" borderId="0" applyFont="0" applyFill="0" applyBorder="0" applyAlignment="0" applyProtection="0"/>
    <xf numFmtId="214" fontId="37" fillId="0" borderId="0" applyFont="0" applyFill="0" applyBorder="0" applyAlignment="0" applyProtection="0"/>
    <xf numFmtId="165" fontId="37" fillId="0" borderId="0" applyFont="0" applyFill="0" applyBorder="0" applyAlignment="0" applyProtection="0"/>
    <xf numFmtId="197" fontId="37" fillId="0" borderId="0" applyFont="0" applyFill="0" applyBorder="0" applyAlignment="0" applyProtection="0"/>
    <xf numFmtId="170" fontId="37" fillId="0" borderId="0" applyFont="0" applyFill="0" applyBorder="0" applyAlignment="0" applyProtection="0"/>
    <xf numFmtId="198" fontId="37" fillId="0" borderId="0" applyFont="0" applyFill="0" applyBorder="0" applyAlignment="0" applyProtection="0"/>
    <xf numFmtId="199" fontId="37" fillId="0" borderId="0" applyFont="0" applyFill="0" applyBorder="0" applyAlignment="0" applyProtection="0"/>
    <xf numFmtId="197" fontId="37" fillId="0" borderId="0" applyFont="0" applyFill="0" applyBorder="0" applyAlignment="0" applyProtection="0"/>
    <xf numFmtId="199"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97" fontId="37" fillId="0" borderId="0" applyFont="0" applyFill="0" applyBorder="0" applyAlignment="0" applyProtection="0"/>
    <xf numFmtId="198" fontId="37" fillId="0" borderId="0" applyFont="0" applyFill="0" applyBorder="0" applyAlignment="0" applyProtection="0"/>
    <xf numFmtId="20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98" fontId="37" fillId="0" borderId="0" applyFont="0" applyFill="0" applyBorder="0" applyAlignment="0" applyProtection="0"/>
    <xf numFmtId="201" fontId="37" fillId="0" borderId="0" applyFont="0" applyFill="0" applyBorder="0" applyAlignment="0" applyProtection="0"/>
    <xf numFmtId="199" fontId="37" fillId="0" borderId="0" applyFont="0" applyFill="0" applyBorder="0" applyAlignment="0" applyProtection="0"/>
    <xf numFmtId="202" fontId="37" fillId="0" borderId="0" applyFont="0" applyFill="0" applyBorder="0" applyAlignment="0" applyProtection="0"/>
    <xf numFmtId="202" fontId="37" fillId="0" borderId="0" applyFont="0" applyFill="0" applyBorder="0" applyAlignment="0" applyProtection="0"/>
    <xf numFmtId="198" fontId="37" fillId="0" borderId="0" applyFont="0" applyFill="0" applyBorder="0" applyAlignment="0" applyProtection="0"/>
    <xf numFmtId="197" fontId="37" fillId="0" borderId="0" applyFont="0" applyFill="0" applyBorder="0" applyAlignment="0" applyProtection="0"/>
    <xf numFmtId="197" fontId="37" fillId="0" borderId="0" applyFont="0" applyFill="0" applyBorder="0" applyAlignment="0" applyProtection="0"/>
    <xf numFmtId="170" fontId="37" fillId="0" borderId="0" applyFont="0" applyFill="0" applyBorder="0" applyAlignment="0" applyProtection="0"/>
    <xf numFmtId="199" fontId="37" fillId="0" borderId="0" applyFont="0" applyFill="0" applyBorder="0" applyAlignment="0" applyProtection="0"/>
    <xf numFmtId="170" fontId="37" fillId="0" borderId="0" applyFont="0" applyFill="0" applyBorder="0" applyAlignment="0" applyProtection="0"/>
    <xf numFmtId="197"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201" fontId="37" fillId="0" borderId="0" applyFont="0" applyFill="0" applyBorder="0" applyAlignment="0" applyProtection="0"/>
    <xf numFmtId="201" fontId="37" fillId="0" borderId="0" applyFont="0" applyFill="0" applyBorder="0" applyAlignment="0" applyProtection="0"/>
    <xf numFmtId="197" fontId="37" fillId="0" borderId="0" applyFont="0" applyFill="0" applyBorder="0" applyAlignment="0" applyProtection="0"/>
    <xf numFmtId="203" fontId="37" fillId="0" borderId="0" applyFont="0" applyFill="0" applyBorder="0" applyAlignment="0" applyProtection="0"/>
    <xf numFmtId="170" fontId="37" fillId="0" borderId="0" applyFont="0" applyFill="0" applyBorder="0" applyAlignment="0" applyProtection="0"/>
    <xf numFmtId="199" fontId="37" fillId="0" borderId="0" applyFont="0" applyFill="0" applyBorder="0" applyAlignment="0" applyProtection="0"/>
    <xf numFmtId="204" fontId="22" fillId="0" borderId="0" applyFont="0" applyFill="0" applyBorder="0" applyAlignment="0" applyProtection="0"/>
    <xf numFmtId="197"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97" fontId="37" fillId="0" borderId="0" applyFont="0" applyFill="0" applyBorder="0" applyAlignment="0" applyProtection="0"/>
    <xf numFmtId="199" fontId="37" fillId="0" borderId="0" applyFont="0" applyFill="0" applyBorder="0" applyAlignment="0" applyProtection="0"/>
    <xf numFmtId="197" fontId="37" fillId="0" borderId="0" applyFont="0" applyFill="0" applyBorder="0" applyAlignment="0" applyProtection="0"/>
    <xf numFmtId="41" fontId="41" fillId="0" borderId="0" applyFont="0" applyFill="0" applyBorder="0" applyAlignment="0" applyProtection="0"/>
    <xf numFmtId="205" fontId="37" fillId="0" borderId="0" applyFont="0" applyFill="0" applyBorder="0" applyAlignment="0" applyProtection="0"/>
    <xf numFmtId="205" fontId="37" fillId="0" borderId="0" applyFont="0" applyFill="0" applyBorder="0" applyAlignment="0" applyProtection="0"/>
    <xf numFmtId="206" fontId="13" fillId="0" borderId="0" applyFont="0" applyFill="0" applyBorder="0" applyAlignment="0" applyProtection="0"/>
    <xf numFmtId="43" fontId="41" fillId="0" borderId="0" applyFont="0" applyFill="0" applyBorder="0" applyAlignment="0" applyProtection="0"/>
    <xf numFmtId="205" fontId="37" fillId="0" borderId="0" applyFont="0" applyFill="0" applyBorder="0" applyAlignment="0" applyProtection="0"/>
    <xf numFmtId="41" fontId="41" fillId="0" borderId="0" applyFont="0" applyFill="0" applyBorder="0" applyAlignment="0" applyProtection="0"/>
    <xf numFmtId="207" fontId="42" fillId="0" borderId="0" applyFont="0" applyFill="0" applyBorder="0" applyAlignment="0" applyProtection="0"/>
    <xf numFmtId="203" fontId="37" fillId="0" borderId="0" applyFont="0" applyFill="0" applyBorder="0" applyAlignment="0" applyProtection="0"/>
    <xf numFmtId="199" fontId="37" fillId="0" borderId="0" applyFont="0" applyFill="0" applyBorder="0" applyAlignment="0" applyProtection="0"/>
    <xf numFmtId="43" fontId="3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43"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70" fontId="37" fillId="0" borderId="0" applyFont="0" applyFill="0" applyBorder="0" applyAlignment="0" applyProtection="0"/>
    <xf numFmtId="199" fontId="37" fillId="0" borderId="0" applyFont="0" applyFill="0" applyBorder="0" applyAlignment="0" applyProtection="0"/>
    <xf numFmtId="188" fontId="37" fillId="0" borderId="0" applyFont="0" applyFill="0" applyBorder="0" applyAlignment="0" applyProtection="0"/>
    <xf numFmtId="169" fontId="37" fillId="0" borderId="0" applyFont="0" applyFill="0" applyBorder="0" applyAlignment="0" applyProtection="0"/>
    <xf numFmtId="215" fontId="37" fillId="0" borderId="0" applyFont="0" applyFill="0" applyBorder="0" applyAlignment="0" applyProtection="0"/>
    <xf numFmtId="216" fontId="37" fillId="0" borderId="0" applyFont="0" applyFill="0" applyBorder="0" applyAlignment="0" applyProtection="0"/>
    <xf numFmtId="188" fontId="37" fillId="0" borderId="0" applyFont="0" applyFill="0" applyBorder="0" applyAlignment="0" applyProtection="0"/>
    <xf numFmtId="216"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88" fontId="37" fillId="0" borderId="0" applyFont="0" applyFill="0" applyBorder="0" applyAlignment="0" applyProtection="0"/>
    <xf numFmtId="215" fontId="37" fillId="0" borderId="0" applyFont="0" applyFill="0" applyBorder="0" applyAlignment="0" applyProtection="0"/>
    <xf numFmtId="217" fontId="37" fillId="0" borderId="0" applyFont="0" applyFill="0" applyBorder="0" applyAlignment="0" applyProtection="0"/>
    <xf numFmtId="188" fontId="22" fillId="0" borderId="0" applyFont="0" applyFill="0" applyBorder="0" applyAlignment="0" applyProtection="0"/>
    <xf numFmtId="169" fontId="37" fillId="0" borderId="0" applyFont="0" applyFill="0" applyBorder="0" applyAlignment="0" applyProtection="0"/>
    <xf numFmtId="188" fontId="22"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215" fontId="37" fillId="0" borderId="0" applyFont="0" applyFill="0" applyBorder="0" applyAlignment="0" applyProtection="0"/>
    <xf numFmtId="218" fontId="37" fillId="0" borderId="0" applyFont="0" applyFill="0" applyBorder="0" applyAlignment="0" applyProtection="0"/>
    <xf numFmtId="216" fontId="37" fillId="0" borderId="0" applyFont="0" applyFill="0" applyBorder="0" applyAlignment="0" applyProtection="0"/>
    <xf numFmtId="219" fontId="37" fillId="0" borderId="0" applyFont="0" applyFill="0" applyBorder="0" applyAlignment="0" applyProtection="0"/>
    <xf numFmtId="220" fontId="37" fillId="0" borderId="0" applyFont="0" applyFill="0" applyBorder="0" applyAlignment="0" applyProtection="0"/>
    <xf numFmtId="219" fontId="37" fillId="0" borderId="0" applyFont="0" applyFill="0" applyBorder="0" applyAlignment="0" applyProtection="0"/>
    <xf numFmtId="215"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69" fontId="37" fillId="0" borderId="0" applyFont="0" applyFill="0" applyBorder="0" applyAlignment="0" applyProtection="0"/>
    <xf numFmtId="216" fontId="37" fillId="0" borderId="0" applyFont="0" applyFill="0" applyBorder="0" applyAlignment="0" applyProtection="0"/>
    <xf numFmtId="169" fontId="37" fillId="0" borderId="0" applyFont="0" applyFill="0" applyBorder="0" applyAlignment="0" applyProtection="0"/>
    <xf numFmtId="188" fontId="37"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218" fontId="37" fillId="0" borderId="0" applyFont="0" applyFill="0" applyBorder="0" applyAlignment="0" applyProtection="0"/>
    <xf numFmtId="218" fontId="37" fillId="0" borderId="0" applyFont="0" applyFill="0" applyBorder="0" applyAlignment="0" applyProtection="0"/>
    <xf numFmtId="188" fontId="37" fillId="0" borderId="0" applyFont="0" applyFill="0" applyBorder="0" applyAlignment="0" applyProtection="0"/>
    <xf numFmtId="221" fontId="37" fillId="0" borderId="0" applyFont="0" applyFill="0" applyBorder="0" applyAlignment="0" applyProtection="0"/>
    <xf numFmtId="169" fontId="37" fillId="0" borderId="0" applyFont="0" applyFill="0" applyBorder="0" applyAlignment="0" applyProtection="0"/>
    <xf numFmtId="216" fontId="37" fillId="0" borderId="0" applyFont="0" applyFill="0" applyBorder="0" applyAlignment="0" applyProtection="0"/>
    <xf numFmtId="222" fontId="22" fillId="0" borderId="0" applyFont="0" applyFill="0" applyBorder="0" applyAlignment="0" applyProtection="0"/>
    <xf numFmtId="188" fontId="37"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188" fontId="37" fillId="0" borderId="0" applyFont="0" applyFill="0" applyBorder="0" applyAlignment="0" applyProtection="0"/>
    <xf numFmtId="216" fontId="37" fillId="0" borderId="0" applyFont="0" applyFill="0" applyBorder="0" applyAlignment="0" applyProtection="0"/>
    <xf numFmtId="188" fontId="37" fillId="0" borderId="0" applyFont="0" applyFill="0" applyBorder="0" applyAlignment="0" applyProtection="0"/>
    <xf numFmtId="180" fontId="41" fillId="0" borderId="0" applyFont="0" applyFill="0" applyBorder="0" applyAlignment="0" applyProtection="0"/>
    <xf numFmtId="223" fontId="37" fillId="0" borderId="0" applyFont="0" applyFill="0" applyBorder="0" applyAlignment="0" applyProtection="0"/>
    <xf numFmtId="223" fontId="37" fillId="0" borderId="0" applyFont="0" applyFill="0" applyBorder="0" applyAlignment="0" applyProtection="0"/>
    <xf numFmtId="224" fontId="13" fillId="0" borderId="0" applyFont="0" applyFill="0" applyBorder="0" applyAlignment="0" applyProtection="0"/>
    <xf numFmtId="192" fontId="41" fillId="0" borderId="0" applyFont="0" applyFill="0" applyBorder="0" applyAlignment="0" applyProtection="0"/>
    <xf numFmtId="223" fontId="37" fillId="0" borderId="0" applyFont="0" applyFill="0" applyBorder="0" applyAlignment="0" applyProtection="0"/>
    <xf numFmtId="180" fontId="41" fillId="0" borderId="0" applyFont="0" applyFill="0" applyBorder="0" applyAlignment="0" applyProtection="0"/>
    <xf numFmtId="225" fontId="42" fillId="0" borderId="0" applyFont="0" applyFill="0" applyBorder="0" applyAlignment="0" applyProtection="0"/>
    <xf numFmtId="216"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169" fontId="37" fillId="0" borderId="0" applyFont="0" applyFill="0" applyBorder="0" applyAlignment="0" applyProtection="0"/>
    <xf numFmtId="216" fontId="37" fillId="0" borderId="0" applyFont="0" applyFill="0" applyBorder="0" applyAlignment="0" applyProtection="0"/>
    <xf numFmtId="189" fontId="22" fillId="0" borderId="0" applyFont="0" applyFill="0" applyBorder="0" applyAlignment="0" applyProtection="0"/>
    <xf numFmtId="190" fontId="37" fillId="0" borderId="0" applyFont="0" applyFill="0" applyBorder="0" applyAlignment="0" applyProtection="0"/>
    <xf numFmtId="191" fontId="37" fillId="0" borderId="0" applyFont="0" applyFill="0" applyBorder="0" applyAlignment="0" applyProtection="0"/>
    <xf numFmtId="190" fontId="37"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65" fontId="37" fillId="0" borderId="0" applyFont="0" applyFill="0" applyBorder="0" applyAlignment="0" applyProtection="0"/>
    <xf numFmtId="174" fontId="22" fillId="0" borderId="0" applyFont="0" applyFill="0" applyBorder="0" applyAlignment="0" applyProtection="0"/>
    <xf numFmtId="165" fontId="37" fillId="0" borderId="0" applyFont="0" applyFill="0" applyBorder="0" applyAlignment="0" applyProtection="0"/>
    <xf numFmtId="190" fontId="37"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1" fontId="37" fillId="0" borderId="0" applyFont="0" applyFill="0" applyBorder="0" applyAlignment="0" applyProtection="0"/>
    <xf numFmtId="189" fontId="22" fillId="0" borderId="0" applyFont="0" applyFill="0" applyBorder="0" applyAlignment="0" applyProtection="0"/>
    <xf numFmtId="208" fontId="41" fillId="0" borderId="0" applyFont="0" applyFill="0" applyBorder="0" applyAlignment="0" applyProtection="0"/>
    <xf numFmtId="209" fontId="37" fillId="0" borderId="0" applyFont="0" applyFill="0" applyBorder="0" applyAlignment="0" applyProtection="0"/>
    <xf numFmtId="209" fontId="37" fillId="0" borderId="0" applyFont="0" applyFill="0" applyBorder="0" applyAlignment="0" applyProtection="0"/>
    <xf numFmtId="210" fontId="41" fillId="0" borderId="0" applyFont="0" applyFill="0" applyBorder="0" applyAlignment="0" applyProtection="0"/>
    <xf numFmtId="209" fontId="37" fillId="0" borderId="0" applyFont="0" applyFill="0" applyBorder="0" applyAlignment="0" applyProtection="0"/>
    <xf numFmtId="208" fontId="41" fillId="0" borderId="0" applyFont="0" applyFill="0" applyBorder="0" applyAlignment="0" applyProtection="0"/>
    <xf numFmtId="20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210" fontId="41" fillId="0" borderId="0" applyFont="0" applyFill="0" applyBorder="0" applyAlignment="0" applyProtection="0"/>
    <xf numFmtId="211" fontId="37" fillId="0" borderId="0" applyFont="0" applyFill="0" applyBorder="0" applyAlignment="0" applyProtection="0"/>
    <xf numFmtId="211" fontId="37" fillId="0" borderId="0" applyFont="0" applyFill="0" applyBorder="0" applyAlignment="0" applyProtection="0"/>
    <xf numFmtId="212" fontId="13" fillId="0" borderId="0" applyFont="0" applyFill="0" applyBorder="0" applyAlignment="0" applyProtection="0"/>
    <xf numFmtId="41" fontId="41" fillId="0" borderId="0" applyFont="0" applyFill="0" applyBorder="0" applyAlignment="0" applyProtection="0"/>
    <xf numFmtId="211" fontId="37" fillId="0" borderId="0" applyFont="0" applyFill="0" applyBorder="0" applyAlignment="0" applyProtection="0"/>
    <xf numFmtId="210" fontId="41" fillId="0" borderId="0" applyFont="0" applyFill="0" applyBorder="0" applyAlignment="0" applyProtection="0"/>
    <xf numFmtId="213" fontId="42" fillId="0" borderId="0" applyFont="0" applyFill="0" applyBorder="0" applyAlignment="0" applyProtection="0"/>
    <xf numFmtId="214" fontId="37" fillId="0" borderId="0" applyFont="0" applyFill="0" applyBorder="0" applyAlignment="0" applyProtection="0"/>
    <xf numFmtId="41" fontId="22" fillId="0" borderId="0" applyFont="0" applyFill="0" applyBorder="0" applyAlignment="0" applyProtection="0"/>
    <xf numFmtId="165" fontId="37" fillId="0" borderId="0" applyFont="0" applyFill="0" applyBorder="0" applyAlignment="0" applyProtection="0"/>
    <xf numFmtId="43" fontId="22" fillId="0" borderId="0" applyFont="0" applyFill="0" applyBorder="0" applyAlignment="0" applyProtection="0"/>
    <xf numFmtId="188" fontId="37" fillId="0" borderId="0" applyFont="0" applyFill="0" applyBorder="0" applyAlignment="0" applyProtection="0"/>
    <xf numFmtId="169" fontId="37" fillId="0" borderId="0" applyFont="0" applyFill="0" applyBorder="0" applyAlignment="0" applyProtection="0"/>
    <xf numFmtId="215" fontId="37" fillId="0" borderId="0" applyFont="0" applyFill="0" applyBorder="0" applyAlignment="0" applyProtection="0"/>
    <xf numFmtId="216" fontId="37" fillId="0" borderId="0" applyFont="0" applyFill="0" applyBorder="0" applyAlignment="0" applyProtection="0"/>
    <xf numFmtId="188" fontId="37" fillId="0" borderId="0" applyFont="0" applyFill="0" applyBorder="0" applyAlignment="0" applyProtection="0"/>
    <xf numFmtId="216"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88" fontId="37" fillId="0" borderId="0" applyFont="0" applyFill="0" applyBorder="0" applyAlignment="0" applyProtection="0"/>
    <xf numFmtId="215" fontId="37" fillId="0" borderId="0" applyFont="0" applyFill="0" applyBorder="0" applyAlignment="0" applyProtection="0"/>
    <xf numFmtId="217" fontId="37" fillId="0" borderId="0" applyFont="0" applyFill="0" applyBorder="0" applyAlignment="0" applyProtection="0"/>
    <xf numFmtId="188" fontId="22" fillId="0" borderId="0" applyFont="0" applyFill="0" applyBorder="0" applyAlignment="0" applyProtection="0"/>
    <xf numFmtId="169" fontId="37" fillId="0" borderId="0" applyFont="0" applyFill="0" applyBorder="0" applyAlignment="0" applyProtection="0"/>
    <xf numFmtId="188" fontId="22"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215" fontId="37" fillId="0" borderId="0" applyFont="0" applyFill="0" applyBorder="0" applyAlignment="0" applyProtection="0"/>
    <xf numFmtId="218" fontId="37" fillId="0" borderId="0" applyFont="0" applyFill="0" applyBorder="0" applyAlignment="0" applyProtection="0"/>
    <xf numFmtId="216" fontId="37" fillId="0" borderId="0" applyFont="0" applyFill="0" applyBorder="0" applyAlignment="0" applyProtection="0"/>
    <xf numFmtId="219" fontId="37" fillId="0" borderId="0" applyFont="0" applyFill="0" applyBorder="0" applyAlignment="0" applyProtection="0"/>
    <xf numFmtId="220" fontId="37" fillId="0" borderId="0" applyFont="0" applyFill="0" applyBorder="0" applyAlignment="0" applyProtection="0"/>
    <xf numFmtId="219" fontId="37" fillId="0" borderId="0" applyFont="0" applyFill="0" applyBorder="0" applyAlignment="0" applyProtection="0"/>
    <xf numFmtId="215"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69" fontId="37" fillId="0" borderId="0" applyFont="0" applyFill="0" applyBorder="0" applyAlignment="0" applyProtection="0"/>
    <xf numFmtId="216" fontId="37" fillId="0" borderId="0" applyFont="0" applyFill="0" applyBorder="0" applyAlignment="0" applyProtection="0"/>
    <xf numFmtId="169" fontId="37" fillId="0" borderId="0" applyFont="0" applyFill="0" applyBorder="0" applyAlignment="0" applyProtection="0"/>
    <xf numFmtId="188" fontId="37"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218" fontId="37" fillId="0" borderId="0" applyFont="0" applyFill="0" applyBorder="0" applyAlignment="0" applyProtection="0"/>
    <xf numFmtId="218" fontId="37" fillId="0" borderId="0" applyFont="0" applyFill="0" applyBorder="0" applyAlignment="0" applyProtection="0"/>
    <xf numFmtId="188" fontId="37" fillId="0" borderId="0" applyFont="0" applyFill="0" applyBorder="0" applyAlignment="0" applyProtection="0"/>
    <xf numFmtId="221" fontId="37" fillId="0" borderId="0" applyFont="0" applyFill="0" applyBorder="0" applyAlignment="0" applyProtection="0"/>
    <xf numFmtId="169" fontId="37" fillId="0" borderId="0" applyFont="0" applyFill="0" applyBorder="0" applyAlignment="0" applyProtection="0"/>
    <xf numFmtId="216" fontId="37" fillId="0" borderId="0" applyFont="0" applyFill="0" applyBorder="0" applyAlignment="0" applyProtection="0"/>
    <xf numFmtId="222" fontId="22" fillId="0" borderId="0" applyFont="0" applyFill="0" applyBorder="0" applyAlignment="0" applyProtection="0"/>
    <xf numFmtId="188" fontId="37"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188" fontId="37" fillId="0" borderId="0" applyFont="0" applyFill="0" applyBorder="0" applyAlignment="0" applyProtection="0"/>
    <xf numFmtId="216" fontId="37" fillId="0" borderId="0" applyFont="0" applyFill="0" applyBorder="0" applyAlignment="0" applyProtection="0"/>
    <xf numFmtId="188" fontId="37" fillId="0" borderId="0" applyFont="0" applyFill="0" applyBorder="0" applyAlignment="0" applyProtection="0"/>
    <xf numFmtId="180" fontId="41" fillId="0" borderId="0" applyFont="0" applyFill="0" applyBorder="0" applyAlignment="0" applyProtection="0"/>
    <xf numFmtId="223" fontId="37" fillId="0" borderId="0" applyFont="0" applyFill="0" applyBorder="0" applyAlignment="0" applyProtection="0"/>
    <xf numFmtId="223" fontId="37" fillId="0" borderId="0" applyFont="0" applyFill="0" applyBorder="0" applyAlignment="0" applyProtection="0"/>
    <xf numFmtId="224" fontId="13" fillId="0" borderId="0" applyFont="0" applyFill="0" applyBorder="0" applyAlignment="0" applyProtection="0"/>
    <xf numFmtId="192" fontId="41" fillId="0" borderId="0" applyFont="0" applyFill="0" applyBorder="0" applyAlignment="0" applyProtection="0"/>
    <xf numFmtId="223" fontId="37" fillId="0" borderId="0" applyFont="0" applyFill="0" applyBorder="0" applyAlignment="0" applyProtection="0"/>
    <xf numFmtId="180" fontId="41" fillId="0" borderId="0" applyFont="0" applyFill="0" applyBorder="0" applyAlignment="0" applyProtection="0"/>
    <xf numFmtId="225" fontId="42" fillId="0" borderId="0" applyFont="0" applyFill="0" applyBorder="0" applyAlignment="0" applyProtection="0"/>
    <xf numFmtId="216"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169" fontId="37" fillId="0" borderId="0" applyFont="0" applyFill="0" applyBorder="0" applyAlignment="0" applyProtection="0"/>
    <xf numFmtId="216" fontId="37" fillId="0" borderId="0" applyFont="0" applyFill="0" applyBorder="0" applyAlignment="0" applyProtection="0"/>
    <xf numFmtId="197" fontId="37" fillId="0" borderId="0" applyFont="0" applyFill="0" applyBorder="0" applyAlignment="0" applyProtection="0"/>
    <xf numFmtId="170" fontId="37" fillId="0" borderId="0" applyFont="0" applyFill="0" applyBorder="0" applyAlignment="0" applyProtection="0"/>
    <xf numFmtId="198" fontId="37" fillId="0" borderId="0" applyFont="0" applyFill="0" applyBorder="0" applyAlignment="0" applyProtection="0"/>
    <xf numFmtId="199" fontId="37" fillId="0" borderId="0" applyFont="0" applyFill="0" applyBorder="0" applyAlignment="0" applyProtection="0"/>
    <xf numFmtId="197" fontId="37" fillId="0" borderId="0" applyFont="0" applyFill="0" applyBorder="0" applyAlignment="0" applyProtection="0"/>
    <xf numFmtId="199"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97" fontId="37" fillId="0" borderId="0" applyFont="0" applyFill="0" applyBorder="0" applyAlignment="0" applyProtection="0"/>
    <xf numFmtId="198" fontId="37" fillId="0" borderId="0" applyFont="0" applyFill="0" applyBorder="0" applyAlignment="0" applyProtection="0"/>
    <xf numFmtId="20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98" fontId="37" fillId="0" borderId="0" applyFont="0" applyFill="0" applyBorder="0" applyAlignment="0" applyProtection="0"/>
    <xf numFmtId="201" fontId="37" fillId="0" borderId="0" applyFont="0" applyFill="0" applyBorder="0" applyAlignment="0" applyProtection="0"/>
    <xf numFmtId="199" fontId="37" fillId="0" borderId="0" applyFont="0" applyFill="0" applyBorder="0" applyAlignment="0" applyProtection="0"/>
    <xf numFmtId="202" fontId="37" fillId="0" borderId="0" applyFont="0" applyFill="0" applyBorder="0" applyAlignment="0" applyProtection="0"/>
    <xf numFmtId="202" fontId="37" fillId="0" borderId="0" applyFont="0" applyFill="0" applyBorder="0" applyAlignment="0" applyProtection="0"/>
    <xf numFmtId="198" fontId="37" fillId="0" borderId="0" applyFont="0" applyFill="0" applyBorder="0" applyAlignment="0" applyProtection="0"/>
    <xf numFmtId="197" fontId="37" fillId="0" borderId="0" applyFont="0" applyFill="0" applyBorder="0" applyAlignment="0" applyProtection="0"/>
    <xf numFmtId="197" fontId="37" fillId="0" borderId="0" applyFont="0" applyFill="0" applyBorder="0" applyAlignment="0" applyProtection="0"/>
    <xf numFmtId="170" fontId="37" fillId="0" borderId="0" applyFont="0" applyFill="0" applyBorder="0" applyAlignment="0" applyProtection="0"/>
    <xf numFmtId="199" fontId="37" fillId="0" borderId="0" applyFont="0" applyFill="0" applyBorder="0" applyAlignment="0" applyProtection="0"/>
    <xf numFmtId="170" fontId="37" fillId="0" borderId="0" applyFont="0" applyFill="0" applyBorder="0" applyAlignment="0" applyProtection="0"/>
    <xf numFmtId="197"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201" fontId="37" fillId="0" borderId="0" applyFont="0" applyFill="0" applyBorder="0" applyAlignment="0" applyProtection="0"/>
    <xf numFmtId="201" fontId="37" fillId="0" borderId="0" applyFont="0" applyFill="0" applyBorder="0" applyAlignment="0" applyProtection="0"/>
    <xf numFmtId="197" fontId="37" fillId="0" borderId="0" applyFont="0" applyFill="0" applyBorder="0" applyAlignment="0" applyProtection="0"/>
    <xf numFmtId="203" fontId="37" fillId="0" borderId="0" applyFont="0" applyFill="0" applyBorder="0" applyAlignment="0" applyProtection="0"/>
    <xf numFmtId="170" fontId="37" fillId="0" borderId="0" applyFont="0" applyFill="0" applyBorder="0" applyAlignment="0" applyProtection="0"/>
    <xf numFmtId="199" fontId="37" fillId="0" borderId="0" applyFont="0" applyFill="0" applyBorder="0" applyAlignment="0" applyProtection="0"/>
    <xf numFmtId="204" fontId="22" fillId="0" borderId="0" applyFont="0" applyFill="0" applyBorder="0" applyAlignment="0" applyProtection="0"/>
    <xf numFmtId="197"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97" fontId="37" fillId="0" borderId="0" applyFont="0" applyFill="0" applyBorder="0" applyAlignment="0" applyProtection="0"/>
    <xf numFmtId="199" fontId="37" fillId="0" borderId="0" applyFont="0" applyFill="0" applyBorder="0" applyAlignment="0" applyProtection="0"/>
    <xf numFmtId="197" fontId="37" fillId="0" borderId="0" applyFont="0" applyFill="0" applyBorder="0" applyAlignment="0" applyProtection="0"/>
    <xf numFmtId="41" fontId="41" fillId="0" borderId="0" applyFont="0" applyFill="0" applyBorder="0" applyAlignment="0" applyProtection="0"/>
    <xf numFmtId="205" fontId="37" fillId="0" borderId="0" applyFont="0" applyFill="0" applyBorder="0" applyAlignment="0" applyProtection="0"/>
    <xf numFmtId="205" fontId="37" fillId="0" borderId="0" applyFont="0" applyFill="0" applyBorder="0" applyAlignment="0" applyProtection="0"/>
    <xf numFmtId="206" fontId="13" fillId="0" borderId="0" applyFont="0" applyFill="0" applyBorder="0" applyAlignment="0" applyProtection="0"/>
    <xf numFmtId="43" fontId="41" fillId="0" borderId="0" applyFont="0" applyFill="0" applyBorder="0" applyAlignment="0" applyProtection="0"/>
    <xf numFmtId="205" fontId="37" fillId="0" borderId="0" applyFont="0" applyFill="0" applyBorder="0" applyAlignment="0" applyProtection="0"/>
    <xf numFmtId="41" fontId="41" fillId="0" borderId="0" applyFont="0" applyFill="0" applyBorder="0" applyAlignment="0" applyProtection="0"/>
    <xf numFmtId="207" fontId="42" fillId="0" borderId="0" applyFont="0" applyFill="0" applyBorder="0" applyAlignment="0" applyProtection="0"/>
    <xf numFmtId="203" fontId="37" fillId="0" borderId="0" applyFont="0" applyFill="0" applyBorder="0" applyAlignment="0" applyProtection="0"/>
    <xf numFmtId="19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70" fontId="37" fillId="0" borderId="0" applyFont="0" applyFill="0" applyBorder="0" applyAlignment="0" applyProtection="0"/>
    <xf numFmtId="199" fontId="37" fillId="0" borderId="0" applyFont="0" applyFill="0" applyBorder="0" applyAlignment="0" applyProtection="0"/>
    <xf numFmtId="41" fontId="22" fillId="0" borderId="0" applyFont="0" applyFill="0" applyBorder="0" applyAlignment="0" applyProtection="0"/>
    <xf numFmtId="184" fontId="22" fillId="0" borderId="0" applyFont="0" applyFill="0" applyBorder="0" applyAlignment="0" applyProtection="0"/>
    <xf numFmtId="180" fontId="22" fillId="0" borderId="0" applyFont="0" applyFill="0" applyBorder="0" applyAlignment="0" applyProtection="0"/>
    <xf numFmtId="180" fontId="22" fillId="0" borderId="0" applyFont="0" applyFill="0" applyBorder="0" applyAlignment="0" applyProtection="0"/>
    <xf numFmtId="192" fontId="41"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4" fontId="13" fillId="0" borderId="0" applyFont="0" applyFill="0" applyBorder="0" applyAlignment="0" applyProtection="0"/>
    <xf numFmtId="194" fontId="41" fillId="0" borderId="0" applyFont="0" applyFill="0" applyBorder="0" applyAlignment="0" applyProtection="0"/>
    <xf numFmtId="193" fontId="22" fillId="0" borderId="0" applyFont="0" applyFill="0" applyBorder="0" applyAlignment="0" applyProtection="0"/>
    <xf numFmtId="192" fontId="41" fillId="0" borderId="0" applyFont="0" applyFill="0" applyBorder="0" applyAlignment="0" applyProtection="0"/>
    <xf numFmtId="195" fontId="22" fillId="0" borderId="0" applyFont="0" applyFill="0" applyBorder="0" applyAlignment="0" applyProtection="0"/>
    <xf numFmtId="180" fontId="22" fillId="0" borderId="0" applyFont="0" applyFill="0" applyBorder="0" applyAlignment="0" applyProtection="0"/>
    <xf numFmtId="43"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65" fontId="37" fillId="0" borderId="0" applyFont="0" applyFill="0" applyBorder="0" applyAlignment="0" applyProtection="0"/>
    <xf numFmtId="190" fontId="37"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1" fontId="37" fillId="0" borderId="0" applyFont="0" applyFill="0" applyBorder="0" applyAlignment="0" applyProtection="0"/>
    <xf numFmtId="189" fontId="22" fillId="0" borderId="0" applyFont="0" applyFill="0" applyBorder="0" applyAlignment="0" applyProtection="0"/>
    <xf numFmtId="208" fontId="41" fillId="0" borderId="0" applyFont="0" applyFill="0" applyBorder="0" applyAlignment="0" applyProtection="0"/>
    <xf numFmtId="209" fontId="37" fillId="0" borderId="0" applyFont="0" applyFill="0" applyBorder="0" applyAlignment="0" applyProtection="0"/>
    <xf numFmtId="209" fontId="37" fillId="0" borderId="0" applyFont="0" applyFill="0" applyBorder="0" applyAlignment="0" applyProtection="0"/>
    <xf numFmtId="210" fontId="41" fillId="0" borderId="0" applyFont="0" applyFill="0" applyBorder="0" applyAlignment="0" applyProtection="0"/>
    <xf numFmtId="209" fontId="37" fillId="0" borderId="0" applyFont="0" applyFill="0" applyBorder="0" applyAlignment="0" applyProtection="0"/>
    <xf numFmtId="208" fontId="41" fillId="0" borderId="0" applyFont="0" applyFill="0" applyBorder="0" applyAlignment="0" applyProtection="0"/>
    <xf numFmtId="20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0" fontId="43" fillId="0" borderId="0"/>
    <xf numFmtId="165" fontId="37" fillId="0" borderId="0" applyFont="0" applyFill="0" applyBorder="0" applyAlignment="0" applyProtection="0"/>
    <xf numFmtId="165" fontId="37" fillId="0" borderId="0" applyFont="0" applyFill="0" applyBorder="0" applyAlignment="0" applyProtection="0"/>
    <xf numFmtId="0" fontId="29" fillId="0" borderId="0"/>
    <xf numFmtId="210" fontId="41" fillId="0" borderId="0" applyFont="0" applyFill="0" applyBorder="0" applyAlignment="0" applyProtection="0"/>
    <xf numFmtId="211" fontId="37" fillId="0" borderId="0" applyFont="0" applyFill="0" applyBorder="0" applyAlignment="0" applyProtection="0"/>
    <xf numFmtId="211" fontId="37" fillId="0" borderId="0" applyFont="0" applyFill="0" applyBorder="0" applyAlignment="0" applyProtection="0"/>
    <xf numFmtId="212" fontId="13" fillId="0" borderId="0" applyFont="0" applyFill="0" applyBorder="0" applyAlignment="0" applyProtection="0"/>
    <xf numFmtId="41" fontId="41" fillId="0" borderId="0" applyFont="0" applyFill="0" applyBorder="0" applyAlignment="0" applyProtection="0"/>
    <xf numFmtId="211" fontId="37" fillId="0" borderId="0" applyFont="0" applyFill="0" applyBorder="0" applyAlignment="0" applyProtection="0"/>
    <xf numFmtId="210" fontId="41" fillId="0" borderId="0" applyFont="0" applyFill="0" applyBorder="0" applyAlignment="0" applyProtection="0"/>
    <xf numFmtId="213" fontId="42" fillId="0" borderId="0" applyFont="0" applyFill="0" applyBorder="0" applyAlignment="0" applyProtection="0"/>
    <xf numFmtId="214"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1" fontId="22" fillId="0" borderId="0" applyFont="0" applyFill="0" applyBorder="0" applyAlignment="0" applyProtection="0"/>
    <xf numFmtId="188" fontId="37" fillId="0" borderId="0" applyFont="0" applyFill="0" applyBorder="0" applyAlignment="0" applyProtection="0"/>
    <xf numFmtId="169" fontId="37" fillId="0" borderId="0" applyFont="0" applyFill="0" applyBorder="0" applyAlignment="0" applyProtection="0"/>
    <xf numFmtId="215" fontId="37" fillId="0" borderId="0" applyFont="0" applyFill="0" applyBorder="0" applyAlignment="0" applyProtection="0"/>
    <xf numFmtId="216" fontId="37" fillId="0" borderId="0" applyFont="0" applyFill="0" applyBorder="0" applyAlignment="0" applyProtection="0"/>
    <xf numFmtId="188" fontId="37" fillId="0" borderId="0" applyFont="0" applyFill="0" applyBorder="0" applyAlignment="0" applyProtection="0"/>
    <xf numFmtId="216"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88" fontId="37" fillId="0" borderId="0" applyFont="0" applyFill="0" applyBorder="0" applyAlignment="0" applyProtection="0"/>
    <xf numFmtId="215" fontId="37" fillId="0" borderId="0" applyFont="0" applyFill="0" applyBorder="0" applyAlignment="0" applyProtection="0"/>
    <xf numFmtId="217" fontId="37" fillId="0" borderId="0" applyFont="0" applyFill="0" applyBorder="0" applyAlignment="0" applyProtection="0"/>
    <xf numFmtId="188" fontId="22" fillId="0" borderId="0" applyFont="0" applyFill="0" applyBorder="0" applyAlignment="0" applyProtection="0"/>
    <xf numFmtId="169" fontId="37" fillId="0" borderId="0" applyFont="0" applyFill="0" applyBorder="0" applyAlignment="0" applyProtection="0"/>
    <xf numFmtId="188" fontId="22"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215" fontId="37" fillId="0" borderId="0" applyFont="0" applyFill="0" applyBorder="0" applyAlignment="0" applyProtection="0"/>
    <xf numFmtId="218" fontId="37" fillId="0" borderId="0" applyFont="0" applyFill="0" applyBorder="0" applyAlignment="0" applyProtection="0"/>
    <xf numFmtId="216" fontId="37" fillId="0" borderId="0" applyFont="0" applyFill="0" applyBorder="0" applyAlignment="0" applyProtection="0"/>
    <xf numFmtId="219" fontId="37" fillId="0" borderId="0" applyFont="0" applyFill="0" applyBorder="0" applyAlignment="0" applyProtection="0"/>
    <xf numFmtId="220" fontId="37" fillId="0" borderId="0" applyFont="0" applyFill="0" applyBorder="0" applyAlignment="0" applyProtection="0"/>
    <xf numFmtId="219" fontId="37" fillId="0" borderId="0" applyFont="0" applyFill="0" applyBorder="0" applyAlignment="0" applyProtection="0"/>
    <xf numFmtId="215"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69" fontId="37" fillId="0" borderId="0" applyFont="0" applyFill="0" applyBorder="0" applyAlignment="0" applyProtection="0"/>
    <xf numFmtId="216" fontId="37" fillId="0" borderId="0" applyFont="0" applyFill="0" applyBorder="0" applyAlignment="0" applyProtection="0"/>
    <xf numFmtId="169" fontId="37" fillId="0" borderId="0" applyFont="0" applyFill="0" applyBorder="0" applyAlignment="0" applyProtection="0"/>
    <xf numFmtId="188" fontId="37"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218" fontId="37" fillId="0" borderId="0" applyFont="0" applyFill="0" applyBorder="0" applyAlignment="0" applyProtection="0"/>
    <xf numFmtId="218" fontId="37" fillId="0" borderId="0" applyFont="0" applyFill="0" applyBorder="0" applyAlignment="0" applyProtection="0"/>
    <xf numFmtId="188" fontId="37" fillId="0" borderId="0" applyFont="0" applyFill="0" applyBorder="0" applyAlignment="0" applyProtection="0"/>
    <xf numFmtId="221" fontId="37" fillId="0" borderId="0" applyFont="0" applyFill="0" applyBorder="0" applyAlignment="0" applyProtection="0"/>
    <xf numFmtId="169" fontId="37" fillId="0" borderId="0" applyFont="0" applyFill="0" applyBorder="0" applyAlignment="0" applyProtection="0"/>
    <xf numFmtId="216" fontId="37" fillId="0" borderId="0" applyFont="0" applyFill="0" applyBorder="0" applyAlignment="0" applyProtection="0"/>
    <xf numFmtId="222" fontId="22" fillId="0" borderId="0" applyFont="0" applyFill="0" applyBorder="0" applyAlignment="0" applyProtection="0"/>
    <xf numFmtId="188" fontId="37"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188" fontId="37" fillId="0" borderId="0" applyFont="0" applyFill="0" applyBorder="0" applyAlignment="0" applyProtection="0"/>
    <xf numFmtId="216" fontId="37" fillId="0" borderId="0" applyFont="0" applyFill="0" applyBorder="0" applyAlignment="0" applyProtection="0"/>
    <xf numFmtId="188" fontId="37" fillId="0" borderId="0" applyFont="0" applyFill="0" applyBorder="0" applyAlignment="0" applyProtection="0"/>
    <xf numFmtId="180" fontId="41" fillId="0" borderId="0" applyFont="0" applyFill="0" applyBorder="0" applyAlignment="0" applyProtection="0"/>
    <xf numFmtId="223" fontId="37" fillId="0" borderId="0" applyFont="0" applyFill="0" applyBorder="0" applyAlignment="0" applyProtection="0"/>
    <xf numFmtId="223" fontId="37" fillId="0" borderId="0" applyFont="0" applyFill="0" applyBorder="0" applyAlignment="0" applyProtection="0"/>
    <xf numFmtId="224" fontId="13" fillId="0" borderId="0" applyFont="0" applyFill="0" applyBorder="0" applyAlignment="0" applyProtection="0"/>
    <xf numFmtId="192" fontId="41" fillId="0" borderId="0" applyFont="0" applyFill="0" applyBorder="0" applyAlignment="0" applyProtection="0"/>
    <xf numFmtId="223" fontId="37" fillId="0" borderId="0" applyFont="0" applyFill="0" applyBorder="0" applyAlignment="0" applyProtection="0"/>
    <xf numFmtId="180" fontId="41" fillId="0" borderId="0" applyFont="0" applyFill="0" applyBorder="0" applyAlignment="0" applyProtection="0"/>
    <xf numFmtId="225" fontId="42" fillId="0" borderId="0" applyFont="0" applyFill="0" applyBorder="0" applyAlignment="0" applyProtection="0"/>
    <xf numFmtId="216"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169" fontId="37" fillId="0" borderId="0" applyFont="0" applyFill="0" applyBorder="0" applyAlignment="0" applyProtection="0"/>
    <xf numFmtId="216" fontId="37" fillId="0" borderId="0" applyFont="0" applyFill="0" applyBorder="0" applyAlignment="0" applyProtection="0"/>
    <xf numFmtId="197" fontId="37" fillId="0" borderId="0" applyFont="0" applyFill="0" applyBorder="0" applyAlignment="0" applyProtection="0"/>
    <xf numFmtId="170" fontId="37" fillId="0" borderId="0" applyFont="0" applyFill="0" applyBorder="0" applyAlignment="0" applyProtection="0"/>
    <xf numFmtId="198" fontId="37" fillId="0" borderId="0" applyFont="0" applyFill="0" applyBorder="0" applyAlignment="0" applyProtection="0"/>
    <xf numFmtId="199" fontId="37" fillId="0" borderId="0" applyFont="0" applyFill="0" applyBorder="0" applyAlignment="0" applyProtection="0"/>
    <xf numFmtId="197" fontId="37" fillId="0" borderId="0" applyFont="0" applyFill="0" applyBorder="0" applyAlignment="0" applyProtection="0"/>
    <xf numFmtId="199"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97" fontId="37" fillId="0" borderId="0" applyFont="0" applyFill="0" applyBorder="0" applyAlignment="0" applyProtection="0"/>
    <xf numFmtId="198" fontId="37" fillId="0" borderId="0" applyFont="0" applyFill="0" applyBorder="0" applyAlignment="0" applyProtection="0"/>
    <xf numFmtId="20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98" fontId="37" fillId="0" borderId="0" applyFont="0" applyFill="0" applyBorder="0" applyAlignment="0" applyProtection="0"/>
    <xf numFmtId="201" fontId="37" fillId="0" borderId="0" applyFont="0" applyFill="0" applyBorder="0" applyAlignment="0" applyProtection="0"/>
    <xf numFmtId="199" fontId="37" fillId="0" borderId="0" applyFont="0" applyFill="0" applyBorder="0" applyAlignment="0" applyProtection="0"/>
    <xf numFmtId="202" fontId="37" fillId="0" borderId="0" applyFont="0" applyFill="0" applyBorder="0" applyAlignment="0" applyProtection="0"/>
    <xf numFmtId="202" fontId="37" fillId="0" borderId="0" applyFont="0" applyFill="0" applyBorder="0" applyAlignment="0" applyProtection="0"/>
    <xf numFmtId="198" fontId="37" fillId="0" borderId="0" applyFont="0" applyFill="0" applyBorder="0" applyAlignment="0" applyProtection="0"/>
    <xf numFmtId="197" fontId="37" fillId="0" borderId="0" applyFont="0" applyFill="0" applyBorder="0" applyAlignment="0" applyProtection="0"/>
    <xf numFmtId="197" fontId="37" fillId="0" borderId="0" applyFont="0" applyFill="0" applyBorder="0" applyAlignment="0" applyProtection="0"/>
    <xf numFmtId="170" fontId="37" fillId="0" borderId="0" applyFont="0" applyFill="0" applyBorder="0" applyAlignment="0" applyProtection="0"/>
    <xf numFmtId="199" fontId="37" fillId="0" borderId="0" applyFont="0" applyFill="0" applyBorder="0" applyAlignment="0" applyProtection="0"/>
    <xf numFmtId="170" fontId="37" fillId="0" borderId="0" applyFont="0" applyFill="0" applyBorder="0" applyAlignment="0" applyProtection="0"/>
    <xf numFmtId="197"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201" fontId="37" fillId="0" borderId="0" applyFont="0" applyFill="0" applyBorder="0" applyAlignment="0" applyProtection="0"/>
    <xf numFmtId="201" fontId="37" fillId="0" borderId="0" applyFont="0" applyFill="0" applyBorder="0" applyAlignment="0" applyProtection="0"/>
    <xf numFmtId="197" fontId="37" fillId="0" borderId="0" applyFont="0" applyFill="0" applyBorder="0" applyAlignment="0" applyProtection="0"/>
    <xf numFmtId="203" fontId="37" fillId="0" borderId="0" applyFont="0" applyFill="0" applyBorder="0" applyAlignment="0" applyProtection="0"/>
    <xf numFmtId="170" fontId="37" fillId="0" borderId="0" applyFont="0" applyFill="0" applyBorder="0" applyAlignment="0" applyProtection="0"/>
    <xf numFmtId="199" fontId="37" fillId="0" borderId="0" applyFont="0" applyFill="0" applyBorder="0" applyAlignment="0" applyProtection="0"/>
    <xf numFmtId="204" fontId="22" fillId="0" borderId="0" applyFont="0" applyFill="0" applyBorder="0" applyAlignment="0" applyProtection="0"/>
    <xf numFmtId="197"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97" fontId="37" fillId="0" borderId="0" applyFont="0" applyFill="0" applyBorder="0" applyAlignment="0" applyProtection="0"/>
    <xf numFmtId="199" fontId="37" fillId="0" borderId="0" applyFont="0" applyFill="0" applyBorder="0" applyAlignment="0" applyProtection="0"/>
    <xf numFmtId="197" fontId="37" fillId="0" borderId="0" applyFont="0" applyFill="0" applyBorder="0" applyAlignment="0" applyProtection="0"/>
    <xf numFmtId="41" fontId="41" fillId="0" borderId="0" applyFont="0" applyFill="0" applyBorder="0" applyAlignment="0" applyProtection="0"/>
    <xf numFmtId="205" fontId="37" fillId="0" borderId="0" applyFont="0" applyFill="0" applyBorder="0" applyAlignment="0" applyProtection="0"/>
    <xf numFmtId="205" fontId="37" fillId="0" borderId="0" applyFont="0" applyFill="0" applyBorder="0" applyAlignment="0" applyProtection="0"/>
    <xf numFmtId="206" fontId="13" fillId="0" borderId="0" applyFont="0" applyFill="0" applyBorder="0" applyAlignment="0" applyProtection="0"/>
    <xf numFmtId="43" fontId="41" fillId="0" borderId="0" applyFont="0" applyFill="0" applyBorder="0" applyAlignment="0" applyProtection="0"/>
    <xf numFmtId="205" fontId="37" fillId="0" borderId="0" applyFont="0" applyFill="0" applyBorder="0" applyAlignment="0" applyProtection="0"/>
    <xf numFmtId="41" fontId="41" fillId="0" borderId="0" applyFont="0" applyFill="0" applyBorder="0" applyAlignment="0" applyProtection="0"/>
    <xf numFmtId="207" fontId="42" fillId="0" borderId="0" applyFont="0" applyFill="0" applyBorder="0" applyAlignment="0" applyProtection="0"/>
    <xf numFmtId="203" fontId="37" fillId="0" borderId="0" applyFont="0" applyFill="0" applyBorder="0" applyAlignment="0" applyProtection="0"/>
    <xf numFmtId="19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70" fontId="37" fillId="0" borderId="0" applyFont="0" applyFill="0" applyBorder="0" applyAlignment="0" applyProtection="0"/>
    <xf numFmtId="199" fontId="37" fillId="0" borderId="0" applyFont="0" applyFill="0" applyBorder="0" applyAlignment="0" applyProtection="0"/>
    <xf numFmtId="184" fontId="22" fillId="0" borderId="0" applyFont="0" applyFill="0" applyBorder="0" applyAlignment="0" applyProtection="0"/>
    <xf numFmtId="180" fontId="22" fillId="0" borderId="0" applyFont="0" applyFill="0" applyBorder="0" applyAlignment="0" applyProtection="0"/>
    <xf numFmtId="180" fontId="22" fillId="0" borderId="0" applyFont="0" applyFill="0" applyBorder="0" applyAlignment="0" applyProtection="0"/>
    <xf numFmtId="192" fontId="41"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4" fontId="13" fillId="0" borderId="0" applyFont="0" applyFill="0" applyBorder="0" applyAlignment="0" applyProtection="0"/>
    <xf numFmtId="194" fontId="41" fillId="0" borderId="0" applyFont="0" applyFill="0" applyBorder="0" applyAlignment="0" applyProtection="0"/>
    <xf numFmtId="193" fontId="22" fillId="0" borderId="0" applyFont="0" applyFill="0" applyBorder="0" applyAlignment="0" applyProtection="0"/>
    <xf numFmtId="192" fontId="41" fillId="0" borderId="0" applyFont="0" applyFill="0" applyBorder="0" applyAlignment="0" applyProtection="0"/>
    <xf numFmtId="195" fontId="22" fillId="0" borderId="0" applyFont="0" applyFill="0" applyBorder="0" applyAlignment="0" applyProtection="0"/>
    <xf numFmtId="180"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65" fontId="37" fillId="0" borderId="0" applyFont="0" applyFill="0" applyBorder="0" applyAlignment="0" applyProtection="0"/>
    <xf numFmtId="0" fontId="27" fillId="0" borderId="0" applyNumberForma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29" fillId="0" borderId="0"/>
    <xf numFmtId="0" fontId="27" fillId="0" borderId="0" applyNumberFormat="0" applyFill="0" applyBorder="0" applyAlignment="0" applyProtection="0"/>
    <xf numFmtId="0" fontId="27" fillId="0" borderId="0" applyNumberFormat="0" applyFill="0" applyBorder="0" applyAlignment="0" applyProtection="0"/>
    <xf numFmtId="165" fontId="37" fillId="0" borderId="0" applyFont="0" applyFill="0" applyBorder="0" applyAlignment="0" applyProtection="0"/>
    <xf numFmtId="0" fontId="39" fillId="0" borderId="0">
      <alignment vertical="top"/>
    </xf>
    <xf numFmtId="0" fontId="39" fillId="0" borderId="0">
      <alignment vertical="top"/>
    </xf>
    <xf numFmtId="0" fontId="39" fillId="0" borderId="0">
      <alignment vertical="top"/>
    </xf>
    <xf numFmtId="0" fontId="27" fillId="0" borderId="0" applyNumberFormat="0" applyFill="0" applyBorder="0" applyAlignment="0" applyProtection="0"/>
    <xf numFmtId="0" fontId="29" fillId="0" borderId="0"/>
    <xf numFmtId="0" fontId="38" fillId="0" borderId="0"/>
    <xf numFmtId="0" fontId="38" fillId="0" borderId="0"/>
    <xf numFmtId="184" fontId="37" fillId="0" borderId="0" applyFont="0" applyFill="0" applyBorder="0" applyAlignment="0" applyProtection="0"/>
    <xf numFmtId="226" fontId="44" fillId="0" borderId="0" applyFont="0" applyFill="0" applyBorder="0" applyAlignment="0" applyProtection="0"/>
    <xf numFmtId="227" fontId="45" fillId="0" borderId="0" applyFont="0" applyFill="0" applyBorder="0" applyAlignment="0" applyProtection="0"/>
    <xf numFmtId="228" fontId="45" fillId="0" borderId="0" applyFont="0" applyFill="0" applyBorder="0" applyAlignment="0" applyProtection="0"/>
    <xf numFmtId="0" fontId="46" fillId="0" borderId="0"/>
    <xf numFmtId="0" fontId="47" fillId="0" borderId="0"/>
    <xf numFmtId="0" fontId="47" fillId="0" borderId="0"/>
    <xf numFmtId="0" fontId="14" fillId="0" borderId="0"/>
    <xf numFmtId="1" fontId="48" fillId="0" borderId="1" applyBorder="0" applyAlignment="0">
      <alignment horizontal="center"/>
    </xf>
    <xf numFmtId="1" fontId="48" fillId="0" borderId="1" applyBorder="0" applyAlignment="0">
      <alignment horizontal="center"/>
    </xf>
    <xf numFmtId="1" fontId="48" fillId="0" borderId="1" applyBorder="0" applyAlignment="0">
      <alignment horizontal="center"/>
    </xf>
    <xf numFmtId="1" fontId="48" fillId="0" borderId="1" applyBorder="0" applyAlignment="0">
      <alignment horizontal="center"/>
    </xf>
    <xf numFmtId="1" fontId="48" fillId="0" borderId="1" applyBorder="0" applyAlignment="0">
      <alignment horizontal="center"/>
    </xf>
    <xf numFmtId="1" fontId="48" fillId="0" borderId="1" applyBorder="0" applyAlignment="0">
      <alignment horizontal="center"/>
    </xf>
    <xf numFmtId="3" fontId="24" fillId="0" borderId="1"/>
    <xf numFmtId="3" fontId="24" fillId="0" borderId="1"/>
    <xf numFmtId="3" fontId="24" fillId="0" borderId="1"/>
    <xf numFmtId="3" fontId="24" fillId="0" borderId="1"/>
    <xf numFmtId="3" fontId="24" fillId="0" borderId="1"/>
    <xf numFmtId="3" fontId="24" fillId="0" borderId="1"/>
    <xf numFmtId="3" fontId="24" fillId="0" borderId="1"/>
    <xf numFmtId="3" fontId="24" fillId="0" borderId="1"/>
    <xf numFmtId="3" fontId="24" fillId="0" borderId="1"/>
    <xf numFmtId="3" fontId="24" fillId="0" borderId="1"/>
    <xf numFmtId="3" fontId="24" fillId="0" borderId="1"/>
    <xf numFmtId="3" fontId="24" fillId="0" borderId="1"/>
    <xf numFmtId="226" fontId="44" fillId="0" borderId="0" applyFont="0" applyFill="0" applyBorder="0" applyAlignment="0" applyProtection="0"/>
    <xf numFmtId="0" fontId="49" fillId="0" borderId="13" applyFont="0" applyAlignment="0">
      <alignment horizontal="left"/>
    </xf>
    <xf numFmtId="0" fontId="49" fillId="0" borderId="13" applyFont="0" applyAlignment="0">
      <alignment horizontal="left"/>
    </xf>
    <xf numFmtId="0" fontId="49" fillId="0" borderId="13" applyFont="0" applyAlignment="0">
      <alignment horizontal="left"/>
    </xf>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0" fontId="50" fillId="2" borderId="0"/>
    <xf numFmtId="0" fontId="51" fillId="2" borderId="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1" fillId="3" borderId="0"/>
    <xf numFmtId="0" fontId="51" fillId="2" borderId="0"/>
    <xf numFmtId="0" fontId="49" fillId="0" borderId="13"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1" fillId="2" borderId="0"/>
    <xf numFmtId="0" fontId="51" fillId="2" borderId="0"/>
    <xf numFmtId="0" fontId="51" fillId="2" borderId="0"/>
    <xf numFmtId="0" fontId="51" fillId="2" borderId="0"/>
    <xf numFmtId="0" fontId="49" fillId="0" borderId="13" applyFont="0" applyAlignment="0">
      <alignment horizontal="left"/>
    </xf>
    <xf numFmtId="0" fontId="26" fillId="0" borderId="22" applyAlignment="0"/>
    <xf numFmtId="0" fontId="26" fillId="0" borderId="22" applyAlignment="0"/>
    <xf numFmtId="0" fontId="50" fillId="2" borderId="0"/>
    <xf numFmtId="0" fontId="26" fillId="0" borderId="23" applyFill="0" applyAlignment="0"/>
    <xf numFmtId="0" fontId="26" fillId="0" borderId="23" applyFill="0" applyAlignment="0"/>
    <xf numFmtId="0" fontId="51" fillId="3" borderId="0"/>
    <xf numFmtId="0" fontId="26" fillId="0" borderId="23" applyFill="0" applyAlignment="0"/>
    <xf numFmtId="0" fontId="26" fillId="0" borderId="23" applyFill="0" applyAlignment="0"/>
    <xf numFmtId="0" fontId="51" fillId="2" borderId="0"/>
    <xf numFmtId="0" fontId="51" fillId="2" borderId="0"/>
    <xf numFmtId="0" fontId="26" fillId="0" borderId="22" applyAlignment="0"/>
    <xf numFmtId="0" fontId="26" fillId="0" borderId="22" applyAlignment="0"/>
    <xf numFmtId="0" fontId="26" fillId="0" borderId="22" applyAlignment="0"/>
    <xf numFmtId="0" fontId="26" fillId="0" borderId="22" applyAlignment="0"/>
    <xf numFmtId="0" fontId="50" fillId="2" borderId="0"/>
    <xf numFmtId="226" fontId="44" fillId="0" borderId="0" applyFont="0" applyFill="0" applyBorder="0" applyAlignment="0" applyProtection="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226" fontId="44" fillId="0" borderId="0" applyFont="0" applyFill="0" applyBorder="0" applyAlignment="0" applyProtection="0"/>
    <xf numFmtId="226" fontId="44" fillId="0" borderId="0" applyFont="0" applyFill="0" applyBorder="0" applyAlignment="0" applyProtection="0"/>
    <xf numFmtId="0" fontId="23" fillId="2" borderId="0"/>
    <xf numFmtId="0" fontId="51" fillId="2" borderId="0"/>
    <xf numFmtId="0" fontId="50" fillId="2" borderId="0"/>
    <xf numFmtId="0" fontId="51" fillId="2" borderId="0"/>
    <xf numFmtId="0" fontId="49" fillId="0" borderId="13" applyFont="0" applyAlignment="0">
      <alignment horizontal="left"/>
    </xf>
    <xf numFmtId="0" fontId="50" fillId="2" borderId="0"/>
    <xf numFmtId="0" fontId="49" fillId="0" borderId="13"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52" fillId="0" borderId="0" applyFont="0" applyFill="0" applyBorder="0" applyAlignment="0">
      <alignment horizontal="left"/>
    </xf>
    <xf numFmtId="0" fontId="51" fillId="2" borderId="0"/>
    <xf numFmtId="0" fontId="49" fillId="0" borderId="13" applyFont="0" applyAlignment="0">
      <alignment horizontal="left"/>
    </xf>
    <xf numFmtId="0" fontId="51" fillId="2" borderId="0"/>
    <xf numFmtId="0" fontId="50" fillId="2" borderId="0"/>
    <xf numFmtId="0" fontId="51" fillId="2" borderId="0"/>
    <xf numFmtId="0" fontId="23" fillId="0" borderId="23" applyAlignment="0"/>
    <xf numFmtId="0" fontId="23" fillId="0" borderId="23" applyAlignment="0"/>
    <xf numFmtId="0" fontId="23" fillId="0" borderId="23" applyAlignment="0"/>
    <xf numFmtId="0" fontId="23" fillId="0" borderId="23" applyAlignment="0"/>
    <xf numFmtId="0" fontId="23" fillId="0" borderId="23" applyAlignment="0"/>
    <xf numFmtId="0" fontId="23" fillId="0" borderId="23" applyAlignment="0"/>
    <xf numFmtId="0" fontId="23" fillId="0" borderId="23" applyAlignment="0"/>
    <xf numFmtId="0" fontId="23" fillId="0" borderId="23" applyAlignment="0"/>
    <xf numFmtId="0" fontId="23" fillId="0" borderId="23" applyAlignment="0"/>
    <xf numFmtId="0" fontId="23" fillId="0" borderId="23" applyAlignment="0"/>
    <xf numFmtId="0" fontId="23" fillId="0" borderId="23" applyAlignment="0"/>
    <xf numFmtId="0" fontId="23" fillId="0" borderId="23" applyAlignment="0"/>
    <xf numFmtId="0" fontId="49" fillId="0" borderId="13"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50" fillId="2" borderId="0"/>
    <xf numFmtId="0" fontId="50" fillId="2" borderId="0"/>
    <xf numFmtId="0" fontId="51" fillId="2" borderId="0"/>
    <xf numFmtId="0" fontId="51" fillId="2" borderId="0"/>
    <xf numFmtId="0" fontId="49" fillId="0" borderId="13" applyFont="0" applyAlignment="0">
      <alignment horizontal="left"/>
    </xf>
    <xf numFmtId="0" fontId="26" fillId="0" borderId="22" applyAlignment="0"/>
    <xf numFmtId="0" fontId="26" fillId="0" borderId="22" applyAlignment="0"/>
    <xf numFmtId="0" fontId="53" fillId="0" borderId="1" applyNumberFormat="0" applyFont="0" applyBorder="0">
      <alignment horizontal="left" indent="2"/>
    </xf>
    <xf numFmtId="0" fontId="53" fillId="0" borderId="1" applyNumberFormat="0" applyFont="0" applyBorder="0">
      <alignment horizontal="left" indent="2"/>
    </xf>
    <xf numFmtId="0" fontId="52" fillId="0" borderId="0" applyFont="0" applyFill="0" applyBorder="0" applyAlignment="0">
      <alignment horizontal="left"/>
    </xf>
    <xf numFmtId="0" fontId="53" fillId="0" borderId="1" applyNumberFormat="0" applyFont="0" applyBorder="0">
      <alignment horizontal="left" indent="2"/>
    </xf>
    <xf numFmtId="0" fontId="53" fillId="0" borderId="1" applyNumberFormat="0" applyFont="0" applyBorder="0">
      <alignment horizontal="left" indent="2"/>
    </xf>
    <xf numFmtId="0" fontId="51" fillId="2" borderId="0"/>
    <xf numFmtId="0" fontId="51" fillId="2" borderId="0"/>
    <xf numFmtId="0" fontId="54" fillId="0" borderId="0"/>
    <xf numFmtId="0" fontId="55" fillId="4" borderId="24" applyFont="0" applyFill="0" applyAlignment="0">
      <alignment vertical="center" wrapText="1"/>
    </xf>
    <xf numFmtId="9" fontId="56" fillId="0" borderId="0" applyBorder="0" applyAlignment="0" applyProtection="0"/>
    <xf numFmtId="0" fontId="57" fillId="2" borderId="0"/>
    <xf numFmtId="0" fontId="50" fillId="2" borderId="0"/>
    <xf numFmtId="0" fontId="57" fillId="3" borderId="0"/>
    <xf numFmtId="0" fontId="23" fillId="0" borderId="22" applyNumberFormat="0" applyFill="0"/>
    <xf numFmtId="0" fontId="23" fillId="0" borderId="22" applyNumberFormat="0" applyFill="0"/>
    <xf numFmtId="0" fontId="50" fillId="2" borderId="0"/>
    <xf numFmtId="0" fontId="23" fillId="0" borderId="22" applyNumberFormat="0" applyFill="0"/>
    <xf numFmtId="0" fontId="23" fillId="0" borderId="22" applyNumberFormat="0" applyFill="0"/>
    <xf numFmtId="0" fontId="23" fillId="0" borderId="22" applyNumberFormat="0" applyFill="0"/>
    <xf numFmtId="0" fontId="23" fillId="0" borderId="22" applyNumberFormat="0" applyFill="0"/>
    <xf numFmtId="0" fontId="23" fillId="0" borderId="22" applyNumberFormat="0" applyFill="0"/>
    <xf numFmtId="0" fontId="23" fillId="0" borderId="22" applyNumberFormat="0" applyFill="0"/>
    <xf numFmtId="0" fontId="57" fillId="2" borderId="0"/>
    <xf numFmtId="0" fontId="23" fillId="0" borderId="22" applyNumberFormat="0" applyFill="0"/>
    <xf numFmtId="0" fontId="23" fillId="0" borderId="22" applyNumberFormat="0" applyFill="0"/>
    <xf numFmtId="0" fontId="50" fillId="2" borderId="0"/>
    <xf numFmtId="0" fontId="23" fillId="2" borderId="0"/>
    <xf numFmtId="0" fontId="50" fillId="2" borderId="0"/>
    <xf numFmtId="0" fontId="50" fillId="2" borderId="0"/>
    <xf numFmtId="0" fontId="57" fillId="2" borderId="0"/>
    <xf numFmtId="0" fontId="50" fillId="2" borderId="0"/>
    <xf numFmtId="0" fontId="23" fillId="0" borderId="22" applyNumberFormat="0" applyAlignment="0"/>
    <xf numFmtId="0" fontId="23" fillId="0" borderId="22" applyNumberFormat="0" applyAlignment="0"/>
    <xf numFmtId="0" fontId="23" fillId="0" borderId="22" applyNumberFormat="0" applyAlignment="0"/>
    <xf numFmtId="0" fontId="23" fillId="0" borderId="22" applyNumberFormat="0" applyAlignment="0"/>
    <xf numFmtId="0" fontId="23" fillId="0" borderId="22" applyNumberFormat="0" applyAlignment="0"/>
    <xf numFmtId="0" fontId="23" fillId="0" borderId="22" applyNumberFormat="0" applyAlignment="0"/>
    <xf numFmtId="0" fontId="23" fillId="0" borderId="22" applyNumberFormat="0" applyAlignment="0"/>
    <xf numFmtId="0" fontId="23" fillId="0" borderId="22" applyNumberFormat="0" applyAlignment="0"/>
    <xf numFmtId="0" fontId="23" fillId="0" borderId="22" applyNumberFormat="0" applyAlignment="0"/>
    <xf numFmtId="0" fontId="23" fillId="0" borderId="22" applyNumberFormat="0" applyAlignment="0"/>
    <xf numFmtId="0" fontId="23" fillId="0" borderId="22" applyNumberFormat="0" applyAlignment="0"/>
    <xf numFmtId="0" fontId="23" fillId="0" borderId="22" applyNumberFormat="0" applyAlignment="0"/>
    <xf numFmtId="0" fontId="50" fillId="2" borderId="0"/>
    <xf numFmtId="0" fontId="50" fillId="2" borderId="0"/>
    <xf numFmtId="0" fontId="23" fillId="0" borderId="22" applyNumberFormat="0" applyFill="0"/>
    <xf numFmtId="0" fontId="23" fillId="0" borderId="22" applyNumberFormat="0" applyFill="0"/>
    <xf numFmtId="0" fontId="23" fillId="0" borderId="22" applyNumberFormat="0" applyFill="0"/>
    <xf numFmtId="0" fontId="23" fillId="0" borderId="22" applyNumberFormat="0" applyFill="0"/>
    <xf numFmtId="0" fontId="23" fillId="0" borderId="22" applyNumberFormat="0" applyFill="0"/>
    <xf numFmtId="0" fontId="23" fillId="0" borderId="22" applyNumberFormat="0" applyFill="0"/>
    <xf numFmtId="0" fontId="23" fillId="0" borderId="22" applyNumberFormat="0" applyFill="0"/>
    <xf numFmtId="0" fontId="23" fillId="0" borderId="22" applyNumberFormat="0" applyFill="0"/>
    <xf numFmtId="0" fontId="23" fillId="0" borderId="22" applyNumberFormat="0" applyFill="0"/>
    <xf numFmtId="0" fontId="23" fillId="0" borderId="22" applyNumberFormat="0" applyFill="0"/>
    <xf numFmtId="0" fontId="57" fillId="2" borderId="0"/>
    <xf numFmtId="0" fontId="57" fillId="2" borderId="0"/>
    <xf numFmtId="0" fontId="57" fillId="2" borderId="0"/>
    <xf numFmtId="0" fontId="53" fillId="0" borderId="1" applyNumberFormat="0" applyFont="0" applyBorder="0" applyAlignment="0">
      <alignment horizontal="center"/>
    </xf>
    <xf numFmtId="0" fontId="53" fillId="0" borderId="1" applyNumberFormat="0" applyFont="0" applyBorder="0" applyAlignment="0">
      <alignment horizontal="center"/>
    </xf>
    <xf numFmtId="0" fontId="53" fillId="0" borderId="1" applyNumberFormat="0" applyFont="0" applyBorder="0" applyAlignment="0">
      <alignment horizontal="center"/>
    </xf>
    <xf numFmtId="0" fontId="53" fillId="0" borderId="1" applyNumberFormat="0" applyFont="0" applyBorder="0" applyAlignment="0">
      <alignment horizontal="center"/>
    </xf>
    <xf numFmtId="0" fontId="23" fillId="0" borderId="0"/>
    <xf numFmtId="0" fontId="58" fillId="5" borderId="0" applyNumberFormat="0" applyBorder="0" applyAlignment="0" applyProtection="0"/>
    <xf numFmtId="0" fontId="59" fillId="6" borderId="0" applyNumberFormat="0" applyBorder="0" applyAlignment="0" applyProtection="0"/>
    <xf numFmtId="0" fontId="58" fillId="7" borderId="0" applyNumberFormat="0" applyBorder="0" applyAlignment="0" applyProtection="0"/>
    <xf numFmtId="0" fontId="59" fillId="8" borderId="0" applyNumberFormat="0" applyBorder="0" applyAlignment="0" applyProtection="0"/>
    <xf numFmtId="0" fontId="58" fillId="9" borderId="0" applyNumberFormat="0" applyBorder="0" applyAlignment="0" applyProtection="0"/>
    <xf numFmtId="0" fontId="59" fillId="10" borderId="0" applyNumberFormat="0" applyBorder="0" applyAlignment="0" applyProtection="0"/>
    <xf numFmtId="0" fontId="58" fillId="11" borderId="0" applyNumberFormat="0" applyBorder="0" applyAlignment="0" applyProtection="0"/>
    <xf numFmtId="0" fontId="59"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8" fillId="15" borderId="0" applyNumberFormat="0" applyBorder="0" applyAlignment="0" applyProtection="0"/>
    <xf numFmtId="0" fontId="59" fillId="16" borderId="0" applyNumberFormat="0" applyBorder="0" applyAlignment="0" applyProtection="0"/>
    <xf numFmtId="0" fontId="59" fillId="5" borderId="0" applyNumberFormat="0" applyBorder="0" applyAlignment="0" applyProtection="0"/>
    <xf numFmtId="0" fontId="59" fillId="7" borderId="0" applyNumberFormat="0" applyBorder="0" applyAlignment="0" applyProtection="0"/>
    <xf numFmtId="0" fontId="59" fillId="9" borderId="0" applyNumberFormat="0" applyBorder="0" applyAlignment="0" applyProtection="0"/>
    <xf numFmtId="0" fontId="59" fillId="11" borderId="0" applyNumberFormat="0" applyBorder="0" applyAlignment="0" applyProtection="0"/>
    <xf numFmtId="0" fontId="59" fillId="13" borderId="0" applyNumberFormat="0" applyBorder="0" applyAlignment="0" applyProtection="0"/>
    <xf numFmtId="0" fontId="59" fillId="15" borderId="0" applyNumberFormat="0" applyBorder="0" applyAlignment="0" applyProtection="0"/>
    <xf numFmtId="0" fontId="13" fillId="0" borderId="0"/>
    <xf numFmtId="0" fontId="60" fillId="2" borderId="0"/>
    <xf numFmtId="0" fontId="50" fillId="2" borderId="0"/>
    <xf numFmtId="0" fontId="60" fillId="3" borderId="0"/>
    <xf numFmtId="0" fontId="50" fillId="2" borderId="0"/>
    <xf numFmtId="0" fontId="50" fillId="2" borderId="0"/>
    <xf numFmtId="0" fontId="23" fillId="2" borderId="0"/>
    <xf numFmtId="0" fontId="50" fillId="2" borderId="0"/>
    <xf numFmtId="0" fontId="50" fillId="2" borderId="0"/>
    <xf numFmtId="0" fontId="60" fillId="2" borderId="0"/>
    <xf numFmtId="0" fontId="50" fillId="2" borderId="0"/>
    <xf numFmtId="0" fontId="50" fillId="2" borderId="0"/>
    <xf numFmtId="0" fontId="50" fillId="2" borderId="0"/>
    <xf numFmtId="0" fontId="60" fillId="2" borderId="0"/>
    <xf numFmtId="0" fontId="60" fillId="2" borderId="0"/>
    <xf numFmtId="0" fontId="61" fillId="0" borderId="0">
      <alignment wrapText="1"/>
    </xf>
    <xf numFmtId="0" fontId="50" fillId="0" borderId="0">
      <alignment wrapText="1"/>
    </xf>
    <xf numFmtId="0" fontId="61" fillId="0" borderId="0">
      <alignment wrapText="1"/>
    </xf>
    <xf numFmtId="0" fontId="50" fillId="0" borderId="0">
      <alignment wrapText="1"/>
    </xf>
    <xf numFmtId="0" fontId="50" fillId="0" borderId="0">
      <alignment wrapText="1"/>
    </xf>
    <xf numFmtId="0" fontId="23" fillId="0" borderId="0">
      <alignment wrapText="1"/>
    </xf>
    <xf numFmtId="0" fontId="50" fillId="0" borderId="0">
      <alignment wrapText="1"/>
    </xf>
    <xf numFmtId="0" fontId="50" fillId="0" borderId="0">
      <alignment wrapText="1"/>
    </xf>
    <xf numFmtId="0" fontId="61" fillId="0" borderId="0">
      <alignment wrapText="1"/>
    </xf>
    <xf numFmtId="0" fontId="50" fillId="0" borderId="0">
      <alignment wrapText="1"/>
    </xf>
    <xf numFmtId="0" fontId="50" fillId="0" borderId="0">
      <alignment wrapText="1"/>
    </xf>
    <xf numFmtId="0" fontId="50" fillId="0" borderId="0">
      <alignment wrapText="1"/>
    </xf>
    <xf numFmtId="0" fontId="61" fillId="0" borderId="0">
      <alignment wrapText="1"/>
    </xf>
    <xf numFmtId="0" fontId="58" fillId="17" borderId="0" applyNumberFormat="0" applyBorder="0" applyAlignment="0" applyProtection="0"/>
    <xf numFmtId="0" fontId="59"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8" fillId="21" borderId="0" applyNumberFormat="0" applyBorder="0" applyAlignment="0" applyProtection="0"/>
    <xf numFmtId="0" fontId="59" fillId="22" borderId="0" applyNumberFormat="0" applyBorder="0" applyAlignment="0" applyProtection="0"/>
    <xf numFmtId="0" fontId="58" fillId="11" borderId="0" applyNumberFormat="0" applyBorder="0" applyAlignment="0" applyProtection="0"/>
    <xf numFmtId="0" fontId="59" fillId="12" borderId="0" applyNumberFormat="0" applyBorder="0" applyAlignment="0" applyProtection="0"/>
    <xf numFmtId="0" fontId="58" fillId="17" borderId="0" applyNumberFormat="0" applyBorder="0" applyAlignment="0" applyProtection="0"/>
    <xf numFmtId="0" fontId="59" fillId="18" borderId="0" applyNumberFormat="0" applyBorder="0" applyAlignment="0" applyProtection="0"/>
    <xf numFmtId="0" fontId="58" fillId="23" borderId="0" applyNumberFormat="0" applyBorder="0" applyAlignment="0" applyProtection="0"/>
    <xf numFmtId="0" fontId="59" fillId="24" borderId="0" applyNumberFormat="0" applyBorder="0" applyAlignment="0" applyProtection="0"/>
    <xf numFmtId="0" fontId="59" fillId="17" borderId="0" applyNumberFormat="0" applyBorder="0" applyAlignment="0" applyProtection="0"/>
    <xf numFmtId="0" fontId="59" fillId="19" borderId="0" applyNumberFormat="0" applyBorder="0" applyAlignment="0" applyProtection="0"/>
    <xf numFmtId="0" fontId="59" fillId="21" borderId="0" applyNumberFormat="0" applyBorder="0" applyAlignment="0" applyProtection="0"/>
    <xf numFmtId="0" fontId="59" fillId="11" borderId="0" applyNumberFormat="0" applyBorder="0" applyAlignment="0" applyProtection="0"/>
    <xf numFmtId="0" fontId="59" fillId="17" borderId="0" applyNumberFormat="0" applyBorder="0" applyAlignment="0" applyProtection="0"/>
    <xf numFmtId="0" fontId="59" fillId="23" borderId="0" applyNumberFormat="0" applyBorder="0" applyAlignment="0" applyProtection="0"/>
    <xf numFmtId="0" fontId="27" fillId="0" borderId="0"/>
    <xf numFmtId="0" fontId="27" fillId="0" borderId="0"/>
    <xf numFmtId="0" fontId="27" fillId="0" borderId="0"/>
    <xf numFmtId="0" fontId="23" fillId="0" borderId="0"/>
    <xf numFmtId="0" fontId="27" fillId="0" borderId="0"/>
    <xf numFmtId="0" fontId="62" fillId="25" borderId="0" applyNumberFormat="0" applyBorder="0" applyAlignment="0" applyProtection="0"/>
    <xf numFmtId="0" fontId="63" fillId="26"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2" fillId="27" borderId="0" applyNumberFormat="0" applyBorder="0" applyAlignment="0" applyProtection="0"/>
    <xf numFmtId="0" fontId="63" fillId="28" borderId="0" applyNumberFormat="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2" fillId="31" borderId="0" applyNumberFormat="0" applyBorder="0" applyAlignment="0" applyProtection="0"/>
    <xf numFmtId="0" fontId="63" fillId="32" borderId="0" applyNumberFormat="0" applyBorder="0" applyAlignment="0" applyProtection="0"/>
    <xf numFmtId="0" fontId="63" fillId="25" borderId="0" applyNumberFormat="0" applyBorder="0" applyAlignment="0" applyProtection="0"/>
    <xf numFmtId="0" fontId="63" fillId="19" borderId="0" applyNumberFormat="0" applyBorder="0" applyAlignment="0" applyProtection="0"/>
    <xf numFmtId="0" fontId="63" fillId="21" borderId="0" applyNumberFormat="0" applyBorder="0" applyAlignment="0" applyProtection="0"/>
    <xf numFmtId="0" fontId="63" fillId="27" borderId="0" applyNumberFormat="0" applyBorder="0" applyAlignment="0" applyProtection="0"/>
    <xf numFmtId="0" fontId="63" fillId="29" borderId="0" applyNumberFormat="0" applyBorder="0" applyAlignment="0" applyProtection="0"/>
    <xf numFmtId="0" fontId="63" fillId="31" borderId="0" applyNumberFormat="0" applyBorder="0" applyAlignment="0" applyProtection="0"/>
    <xf numFmtId="0" fontId="64" fillId="0" borderId="0"/>
    <xf numFmtId="0" fontId="62" fillId="33" borderId="0" applyNumberFormat="0" applyBorder="0" applyAlignment="0" applyProtection="0"/>
    <xf numFmtId="0" fontId="63" fillId="34" borderId="0" applyNumberFormat="0" applyBorder="0" applyAlignment="0" applyProtection="0"/>
    <xf numFmtId="0" fontId="62" fillId="35" borderId="0" applyNumberFormat="0" applyBorder="0" applyAlignment="0" applyProtection="0"/>
    <xf numFmtId="0" fontId="63" fillId="36" borderId="0" applyNumberFormat="0" applyBorder="0" applyAlignment="0" applyProtection="0"/>
    <xf numFmtId="0" fontId="62" fillId="37" borderId="0" applyNumberFormat="0" applyBorder="0" applyAlignment="0" applyProtection="0"/>
    <xf numFmtId="0" fontId="63" fillId="38" borderId="0" applyNumberFormat="0" applyBorder="0" applyAlignment="0" applyProtection="0"/>
    <xf numFmtId="0" fontId="62" fillId="27" borderId="0" applyNumberFormat="0" applyBorder="0" applyAlignment="0" applyProtection="0"/>
    <xf numFmtId="0" fontId="63" fillId="28" borderId="0" applyNumberFormat="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2" fillId="39" borderId="0" applyNumberFormat="0" applyBorder="0" applyAlignment="0" applyProtection="0"/>
    <xf numFmtId="0" fontId="63" fillId="40" borderId="0" applyNumberFormat="0" applyBorder="0" applyAlignment="0" applyProtection="0"/>
    <xf numFmtId="229" fontId="13" fillId="0" borderId="0" applyFont="0" applyFill="0" applyBorder="0" applyAlignment="0" applyProtection="0"/>
    <xf numFmtId="0" fontId="65" fillId="0" borderId="0" applyFont="0" applyFill="0" applyBorder="0" applyAlignment="0" applyProtection="0"/>
    <xf numFmtId="230" fontId="22" fillId="0" borderId="0" applyFont="0" applyFill="0" applyBorder="0" applyAlignment="0" applyProtection="0"/>
    <xf numFmtId="231" fontId="13" fillId="0" borderId="0" applyFont="0" applyFill="0" applyBorder="0" applyAlignment="0" applyProtection="0"/>
    <xf numFmtId="0" fontId="65" fillId="0" borderId="0" applyFont="0" applyFill="0" applyBorder="0" applyAlignment="0" applyProtection="0"/>
    <xf numFmtId="229" fontId="22" fillId="0" borderId="0" applyFont="0" applyFill="0" applyBorder="0" applyAlignment="0" applyProtection="0"/>
    <xf numFmtId="0" fontId="66" fillId="0" borderId="0">
      <alignment horizontal="center" wrapText="1"/>
      <protection locked="0"/>
    </xf>
    <xf numFmtId="0" fontId="67" fillId="0" borderId="0" applyNumberFormat="0" applyBorder="0" applyAlignment="0">
      <alignment horizontal="center"/>
    </xf>
    <xf numFmtId="215" fontId="68" fillId="0" borderId="0" applyFont="0" applyFill="0" applyBorder="0" applyAlignment="0" applyProtection="0"/>
    <xf numFmtId="0" fontId="65" fillId="0" borderId="0" applyFont="0" applyFill="0" applyBorder="0" applyAlignment="0" applyProtection="0"/>
    <xf numFmtId="215" fontId="68" fillId="0" borderId="0" applyFont="0" applyFill="0" applyBorder="0" applyAlignment="0" applyProtection="0"/>
    <xf numFmtId="198" fontId="68" fillId="0" borderId="0" applyFont="0" applyFill="0" applyBorder="0" applyAlignment="0" applyProtection="0"/>
    <xf numFmtId="0" fontId="65" fillId="0" borderId="0" applyFont="0" applyFill="0" applyBorder="0" applyAlignment="0" applyProtection="0"/>
    <xf numFmtId="198" fontId="68" fillId="0" borderId="0" applyFont="0" applyFill="0" applyBorder="0" applyAlignment="0" applyProtection="0"/>
    <xf numFmtId="184" fontId="2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69" fillId="7" borderId="0" applyNumberFormat="0" applyBorder="0" applyAlignment="0" applyProtection="0"/>
    <xf numFmtId="0" fontId="70" fillId="8" borderId="0" applyNumberFormat="0" applyBorder="0" applyAlignment="0" applyProtection="0"/>
    <xf numFmtId="0" fontId="71" fillId="0" borderId="0" applyNumberFormat="0" applyFill="0" applyBorder="0" applyAlignment="0" applyProtection="0"/>
    <xf numFmtId="0" fontId="65" fillId="0" borderId="0"/>
    <xf numFmtId="0" fontId="42" fillId="0" borderId="0"/>
    <xf numFmtId="0" fontId="14" fillId="0" borderId="0"/>
    <xf numFmtId="0" fontId="65" fillId="0" borderId="0"/>
    <xf numFmtId="0" fontId="72" fillId="0" borderId="0"/>
    <xf numFmtId="0" fontId="73" fillId="0" borderId="0"/>
    <xf numFmtId="0" fontId="74" fillId="0" borderId="0"/>
    <xf numFmtId="0" fontId="13" fillId="0" borderId="0" applyFill="0" applyBorder="0" applyAlignment="0"/>
    <xf numFmtId="232" fontId="75" fillId="0" borderId="0" applyFill="0" applyBorder="0" applyAlignment="0"/>
    <xf numFmtId="233" fontId="75" fillId="0" borderId="0" applyFill="0" applyBorder="0" applyAlignment="0"/>
    <xf numFmtId="234" fontId="75" fillId="0" borderId="0" applyFill="0" applyBorder="0" applyAlignment="0"/>
    <xf numFmtId="235" fontId="13" fillId="0" borderId="0" applyFill="0" applyBorder="0" applyAlignment="0"/>
    <xf numFmtId="185" fontId="75" fillId="0" borderId="0" applyFill="0" applyBorder="0" applyAlignment="0"/>
    <xf numFmtId="236" fontId="75" fillId="0" borderId="0" applyFill="0" applyBorder="0" applyAlignment="0"/>
    <xf numFmtId="232" fontId="75" fillId="0" borderId="0" applyFill="0" applyBorder="0" applyAlignment="0"/>
    <xf numFmtId="0" fontId="76" fillId="41" borderId="25" applyNumberFormat="0" applyAlignment="0" applyProtection="0"/>
    <xf numFmtId="0" fontId="76" fillId="41" borderId="25" applyNumberFormat="0" applyAlignment="0" applyProtection="0"/>
    <xf numFmtId="0" fontId="77" fillId="3" borderId="25" applyNumberFormat="0" applyAlignment="0" applyProtection="0"/>
    <xf numFmtId="0" fontId="78" fillId="0" borderId="0"/>
    <xf numFmtId="237" fontId="37" fillId="0" borderId="0" applyFont="0" applyFill="0" applyBorder="0" applyAlignment="0" applyProtection="0"/>
    <xf numFmtId="0" fontId="79" fillId="42" borderId="26" applyNumberFormat="0" applyAlignment="0" applyProtection="0"/>
    <xf numFmtId="0" fontId="80" fillId="43" borderId="26" applyNumberFormat="0" applyAlignment="0" applyProtection="0"/>
    <xf numFmtId="173" fontId="28" fillId="0" borderId="0" applyFont="0" applyFill="0" applyBorder="0" applyAlignment="0" applyProtection="0"/>
    <xf numFmtId="4" fontId="81" fillId="0" borderId="0" applyAlignment="0"/>
    <xf numFmtId="1" fontId="82" fillId="0" borderId="5" applyBorder="0"/>
    <xf numFmtId="1" fontId="82" fillId="0" borderId="5" applyBorder="0"/>
    <xf numFmtId="1" fontId="82" fillId="0" borderId="5" applyBorder="0"/>
    <xf numFmtId="1" fontId="82" fillId="0" borderId="5" applyBorder="0"/>
    <xf numFmtId="197" fontId="83" fillId="0" borderId="0" applyFont="0" applyFill="0" applyBorder="0" applyAlignment="0" applyProtection="0"/>
    <xf numFmtId="238" fontId="84" fillId="0" borderId="0"/>
    <xf numFmtId="238" fontId="84" fillId="0" borderId="0"/>
    <xf numFmtId="238" fontId="84" fillId="0" borderId="0"/>
    <xf numFmtId="238" fontId="84" fillId="0" borderId="0"/>
    <xf numFmtId="238" fontId="84" fillId="0" borderId="0"/>
    <xf numFmtId="238" fontId="84" fillId="0" borderId="0"/>
    <xf numFmtId="238" fontId="84" fillId="0" borderId="0"/>
    <xf numFmtId="238" fontId="84" fillId="0" borderId="0"/>
    <xf numFmtId="239" fontId="26" fillId="0" borderId="0" applyFill="0" applyBorder="0" applyAlignment="0" applyProtection="0"/>
    <xf numFmtId="166" fontId="59" fillId="0" borderId="0" applyFont="0" applyFill="0" applyBorder="0" applyAlignment="0" applyProtection="0"/>
    <xf numFmtId="239" fontId="26" fillId="0" borderId="0" applyFill="0" applyBorder="0" applyAlignment="0" applyProtection="0"/>
    <xf numFmtId="239" fontId="26" fillId="0" borderId="0" applyFill="0" applyBorder="0" applyAlignment="0" applyProtection="0"/>
    <xf numFmtId="169" fontId="28" fillId="0" borderId="0" applyFont="0" applyFill="0" applyBorder="0" applyAlignment="0" applyProtection="0"/>
    <xf numFmtId="166" fontId="59" fillId="0" borderId="0" applyFont="0" applyFill="0" applyBorder="0" applyAlignment="0" applyProtection="0"/>
    <xf numFmtId="185" fontId="75" fillId="0" borderId="0" applyFont="0" applyFill="0" applyBorder="0" applyAlignment="0" applyProtection="0"/>
    <xf numFmtId="168" fontId="13" fillId="0" borderId="0" applyFont="0" applyFill="0" applyBorder="0" applyAlignment="0" applyProtection="0"/>
    <xf numFmtId="168" fontId="59" fillId="0" borderId="0" applyFont="0" applyFill="0" applyBorder="0" applyAlignment="0" applyProtection="0"/>
    <xf numFmtId="172" fontId="13" fillId="0" borderId="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85" fillId="0" borderId="0" applyFont="0" applyFill="0" applyBorder="0" applyAlignment="0" applyProtection="0"/>
    <xf numFmtId="168" fontId="59"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59"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0" fontId="86" fillId="0" borderId="0" applyFont="0" applyFill="0" applyBorder="0" applyAlignment="0" applyProtection="0"/>
    <xf numFmtId="168" fontId="87" fillId="0" borderId="0" applyFont="0" applyFill="0" applyBorder="0" applyAlignment="0" applyProtection="0"/>
    <xf numFmtId="0" fontId="59" fillId="0" borderId="0" applyFont="0" applyFill="0" applyBorder="0" applyAlignment="0" applyProtection="0"/>
    <xf numFmtId="172" fontId="13" fillId="0" borderId="0" applyFill="0" applyBorder="0" applyAlignment="0" applyProtection="0"/>
    <xf numFmtId="168" fontId="88" fillId="0" borderId="0" applyFont="0" applyFill="0" applyBorder="0" applyAlignment="0" applyProtection="0"/>
    <xf numFmtId="172" fontId="13" fillId="0" borderId="0" applyFill="0" applyBorder="0" applyAlignment="0" applyProtection="0"/>
    <xf numFmtId="179" fontId="13" fillId="0" borderId="0" applyFont="0" applyFill="0" applyBorder="0" applyAlignment="0" applyProtection="0"/>
    <xf numFmtId="168" fontId="13" fillId="0" borderId="0" applyFont="0" applyFill="0" applyBorder="0" applyAlignment="0" applyProtection="0"/>
    <xf numFmtId="199" fontId="13" fillId="0" borderId="0" applyFont="0" applyFill="0" applyBorder="0" applyAlignment="0" applyProtection="0"/>
    <xf numFmtId="168" fontId="12" fillId="0" borderId="0" applyFont="0" applyFill="0" applyBorder="0" applyAlignment="0" applyProtection="0"/>
    <xf numFmtId="168" fontId="13" fillId="0" borderId="0" applyFont="0" applyFill="0" applyBorder="0" applyAlignment="0" applyProtection="0"/>
    <xf numFmtId="168" fontId="12"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0" fontId="89" fillId="0" borderId="0" applyFont="0" applyFill="0" applyBorder="0" applyAlignment="0" applyProtection="0"/>
    <xf numFmtId="168" fontId="12" fillId="0" borderId="0" applyFont="0" applyFill="0" applyBorder="0" applyAlignment="0" applyProtection="0"/>
    <xf numFmtId="170" fontId="89" fillId="0" borderId="0" applyFont="0" applyFill="0" applyBorder="0" applyAlignment="0" applyProtection="0"/>
    <xf numFmtId="168" fontId="13"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0" fontId="12" fillId="0" borderId="0" applyFont="0" applyFill="0" applyBorder="0" applyAlignment="0" applyProtection="0"/>
    <xf numFmtId="170" fontId="89" fillId="0" borderId="0" applyFont="0" applyFill="0" applyBorder="0" applyAlignment="0" applyProtection="0"/>
    <xf numFmtId="170" fontId="89" fillId="0" borderId="0" applyFont="0" applyFill="0" applyBorder="0" applyAlignment="0" applyProtection="0"/>
    <xf numFmtId="172" fontId="13" fillId="0" borderId="0" applyFill="0" applyBorder="0" applyAlignment="0" applyProtection="0"/>
    <xf numFmtId="168" fontId="13" fillId="0" borderId="0" applyFont="0" applyFill="0" applyBorder="0" applyAlignment="0" applyProtection="0"/>
    <xf numFmtId="172" fontId="23" fillId="0" borderId="0" applyFill="0" applyBorder="0" applyAlignment="0" applyProtection="0"/>
    <xf numFmtId="172" fontId="13" fillId="0" borderId="0" applyFill="0" applyBorder="0" applyAlignment="0" applyProtection="0"/>
    <xf numFmtId="170" fontId="87" fillId="0" borderId="0" applyFont="0" applyFill="0" applyBorder="0" applyAlignment="0" applyProtection="0"/>
    <xf numFmtId="168" fontId="13" fillId="0" borderId="0" applyFont="0" applyFill="0" applyBorder="0" applyAlignment="0" applyProtection="0"/>
    <xf numFmtId="172" fontId="13" fillId="0" borderId="0" applyFill="0" applyBorder="0" applyAlignment="0" applyProtection="0"/>
    <xf numFmtId="172" fontId="13" fillId="0" borderId="0" applyFill="0" applyBorder="0" applyAlignment="0" applyProtection="0"/>
    <xf numFmtId="170" fontId="12" fillId="0" borderId="0" applyFont="0" applyFill="0" applyBorder="0" applyAlignment="0" applyProtection="0"/>
    <xf numFmtId="168" fontId="13" fillId="0" borderId="0" applyFont="0" applyFill="0" applyBorder="0" applyAlignment="0" applyProtection="0"/>
    <xf numFmtId="170" fontId="87" fillId="0" borderId="0" applyFont="0" applyFill="0" applyBorder="0" applyAlignment="0" applyProtection="0"/>
    <xf numFmtId="0" fontId="59" fillId="0" borderId="0" applyFont="0" applyFill="0" applyBorder="0" applyAlignment="0" applyProtection="0"/>
    <xf numFmtId="240" fontId="87" fillId="0" borderId="0" applyFont="0" applyFill="0" applyBorder="0" applyAlignment="0" applyProtection="0"/>
    <xf numFmtId="168" fontId="13" fillId="0" borderId="0" applyFont="0" applyFill="0" applyBorder="0" applyAlignment="0" applyProtection="0"/>
    <xf numFmtId="170" fontId="28" fillId="0" borderId="0" applyFont="0" applyFill="0" applyBorder="0" applyAlignment="0" applyProtection="0"/>
    <xf numFmtId="168" fontId="59" fillId="0" borderId="0" applyFont="0" applyFill="0" applyBorder="0" applyAlignment="0" applyProtection="0"/>
    <xf numFmtId="168" fontId="13" fillId="0" borderId="0" applyFont="0" applyFill="0" applyBorder="0" applyAlignment="0" applyProtection="0"/>
    <xf numFmtId="170" fontId="59"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241" fontId="14" fillId="0" borderId="0"/>
    <xf numFmtId="3" fontId="13" fillId="0" borderId="0" applyFill="0" applyBorder="0" applyAlignment="0" applyProtection="0"/>
    <xf numFmtId="0" fontId="90" fillId="0" borderId="0"/>
    <xf numFmtId="0" fontId="75" fillId="0" borderId="0"/>
    <xf numFmtId="3" fontId="13" fillId="0" borderId="0" applyFont="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ont="0" applyFill="0" applyBorder="0" applyAlignment="0" applyProtection="0"/>
    <xf numFmtId="0" fontId="90" fillId="0" borderId="0"/>
    <xf numFmtId="0" fontId="75" fillId="0" borderId="0"/>
    <xf numFmtId="0" fontId="91" fillId="0" borderId="0">
      <alignment horizontal="center"/>
    </xf>
    <xf numFmtId="0" fontId="92" fillId="0" borderId="0" applyNumberFormat="0" applyAlignment="0">
      <alignment horizontal="left"/>
    </xf>
    <xf numFmtId="242" fontId="42" fillId="0" borderId="0" applyFont="0" applyFill="0" applyBorder="0" applyAlignment="0" applyProtection="0"/>
    <xf numFmtId="232" fontId="75"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243" fontId="13" fillId="0" borderId="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3" fontId="13" fillId="0" borderId="0" applyFill="0" applyBorder="0" applyAlignment="0" applyProtection="0"/>
    <xf numFmtId="243" fontId="13" fillId="0" borderId="0" applyFill="0" applyBorder="0" applyAlignment="0" applyProtection="0"/>
    <xf numFmtId="244" fontId="13" fillId="0" borderId="0" applyFont="0" applyFill="0" applyBorder="0" applyAlignment="0" applyProtection="0"/>
    <xf numFmtId="246" fontId="13" fillId="0" borderId="0"/>
    <xf numFmtId="247" fontId="23" fillId="0" borderId="27"/>
    <xf numFmtId="0" fontId="13" fillId="0" borderId="0" applyFill="0" applyBorder="0" applyAlignment="0" applyProtection="0"/>
    <xf numFmtId="0" fontId="13" fillId="0" borderId="0" applyFont="0" applyFill="0" applyBorder="0" applyAlignment="0" applyProtection="0"/>
    <xf numFmtId="0" fontId="13" fillId="0" borderId="0" applyFill="0" applyBorder="0" applyAlignment="0" applyProtection="0"/>
    <xf numFmtId="14" fontId="39" fillId="0" borderId="0" applyFill="0" applyBorder="0" applyAlignment="0"/>
    <xf numFmtId="0" fontId="13" fillId="0" borderId="0" applyFont="0" applyFill="0" applyBorder="0" applyAlignment="0" applyProtection="0"/>
    <xf numFmtId="0" fontId="93" fillId="41" borderId="28" applyNumberFormat="0" applyAlignment="0" applyProtection="0"/>
    <xf numFmtId="0" fontId="93" fillId="41" borderId="28" applyNumberFormat="0" applyAlignment="0" applyProtection="0"/>
    <xf numFmtId="0" fontId="94" fillId="15" borderId="25" applyNumberFormat="0" applyAlignment="0" applyProtection="0"/>
    <xf numFmtId="0" fontId="94" fillId="15" borderId="25" applyNumberFormat="0" applyAlignment="0" applyProtection="0"/>
    <xf numFmtId="3" fontId="95" fillId="0" borderId="4">
      <alignment horizontal="left" vertical="top" wrapText="1"/>
    </xf>
    <xf numFmtId="0" fontId="96" fillId="0" borderId="29" applyNumberFormat="0" applyFill="0" applyAlignment="0" applyProtection="0"/>
    <xf numFmtId="0" fontId="97" fillId="0" borderId="30" applyNumberFormat="0" applyFill="0" applyAlignment="0" applyProtection="0"/>
    <xf numFmtId="0" fontId="98" fillId="0" borderId="31" applyNumberFormat="0" applyFill="0" applyAlignment="0" applyProtection="0"/>
    <xf numFmtId="0" fontId="98" fillId="0" borderId="0" applyNumberFormat="0" applyFill="0" applyBorder="0" applyAlignment="0" applyProtection="0"/>
    <xf numFmtId="248" fontId="26" fillId="0" borderId="0" applyFill="0" applyBorder="0" applyProtection="0">
      <alignment vertical="center"/>
    </xf>
    <xf numFmtId="249" fontId="23" fillId="0" borderId="0" applyFont="0" applyFill="0" applyBorder="0" applyProtection="0">
      <alignment vertical="center"/>
    </xf>
    <xf numFmtId="249" fontId="23" fillId="0" borderId="0" applyFont="0" applyFill="0" applyBorder="0" applyProtection="0">
      <alignment vertical="center"/>
    </xf>
    <xf numFmtId="249" fontId="23" fillId="0" borderId="0" applyFont="0" applyFill="0" applyBorder="0" applyProtection="0">
      <alignment vertical="center"/>
    </xf>
    <xf numFmtId="250" fontId="13" fillId="0" borderId="32">
      <alignment vertical="center"/>
    </xf>
    <xf numFmtId="0" fontId="13" fillId="0" borderId="0" applyFont="0" applyFill="0" applyBorder="0" applyAlignment="0" applyProtection="0"/>
    <xf numFmtId="0" fontId="13" fillId="0" borderId="0" applyFont="0" applyFill="0" applyBorder="0" applyAlignment="0" applyProtection="0"/>
    <xf numFmtId="251" fontId="23" fillId="0" borderId="0"/>
    <xf numFmtId="252" fontId="27" fillId="0" borderId="1"/>
    <xf numFmtId="252" fontId="27" fillId="0" borderId="1"/>
    <xf numFmtId="0" fontId="99" fillId="0" borderId="0">
      <protection locked="0"/>
    </xf>
    <xf numFmtId="253" fontId="13" fillId="0" borderId="0"/>
    <xf numFmtId="254" fontId="27" fillId="0" borderId="0"/>
    <xf numFmtId="0" fontId="83" fillId="0" borderId="0">
      <alignment vertical="top" wrapText="1"/>
    </xf>
    <xf numFmtId="0" fontId="83" fillId="0" borderId="0">
      <alignment vertical="top" wrapText="1"/>
    </xf>
    <xf numFmtId="41" fontId="100" fillId="0" borderId="0" applyFont="0" applyFill="0" applyBorder="0" applyAlignment="0" applyProtection="0"/>
    <xf numFmtId="43" fontId="100" fillId="0" borderId="0" applyFont="0" applyFill="0" applyBorder="0" applyAlignment="0" applyProtection="0"/>
    <xf numFmtId="41" fontId="100" fillId="0" borderId="0" applyFont="0" applyFill="0" applyBorder="0" applyAlignment="0" applyProtection="0"/>
    <xf numFmtId="169" fontId="100"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6" fontId="23" fillId="0" borderId="0" applyFont="0" applyFill="0" applyBorder="0" applyAlignment="0" applyProtection="0"/>
    <xf numFmtId="256" fontId="23" fillId="0" borderId="0" applyFont="0" applyFill="0" applyBorder="0" applyAlignment="0" applyProtection="0"/>
    <xf numFmtId="257" fontId="23" fillId="0" borderId="0" applyFont="0" applyFill="0" applyBorder="0" applyAlignment="0" applyProtection="0"/>
    <xf numFmtId="257" fontId="23" fillId="0" borderId="0" applyFont="0" applyFill="0" applyBorder="0" applyAlignment="0" applyProtection="0"/>
    <xf numFmtId="169" fontId="100" fillId="0" borderId="0" applyFont="0" applyFill="0" applyBorder="0" applyAlignment="0" applyProtection="0"/>
    <xf numFmtId="169" fontId="100" fillId="0" borderId="0" applyFont="0" applyFill="0" applyBorder="0" applyAlignment="0" applyProtection="0"/>
    <xf numFmtId="169" fontId="100" fillId="0" borderId="0" applyFont="0" applyFill="0" applyBorder="0" applyAlignment="0" applyProtection="0"/>
    <xf numFmtId="169" fontId="100" fillId="0" borderId="0" applyFont="0" applyFill="0" applyBorder="0" applyAlignment="0" applyProtection="0"/>
    <xf numFmtId="169" fontId="100" fillId="0" borderId="0" applyFont="0" applyFill="0" applyBorder="0" applyAlignment="0" applyProtection="0"/>
    <xf numFmtId="169" fontId="100" fillId="0" borderId="0" applyFont="0" applyFill="0" applyBorder="0" applyAlignment="0" applyProtection="0"/>
    <xf numFmtId="169" fontId="100" fillId="0" borderId="0" applyFont="0" applyFill="0" applyBorder="0" applyAlignment="0" applyProtection="0"/>
    <xf numFmtId="169" fontId="100" fillId="0" borderId="0" applyFont="0" applyFill="0" applyBorder="0" applyAlignment="0" applyProtection="0"/>
    <xf numFmtId="169" fontId="100" fillId="0" borderId="0" applyFont="0" applyFill="0" applyBorder="0" applyAlignment="0" applyProtection="0"/>
    <xf numFmtId="169" fontId="100" fillId="0" borderId="0" applyFont="0" applyFill="0" applyBorder="0" applyAlignment="0" applyProtection="0"/>
    <xf numFmtId="169" fontId="100" fillId="0" borderId="0" applyFont="0" applyFill="0" applyBorder="0" applyAlignment="0" applyProtection="0"/>
    <xf numFmtId="169" fontId="100" fillId="0" borderId="0" applyFont="0" applyFill="0" applyBorder="0" applyAlignment="0" applyProtection="0"/>
    <xf numFmtId="169" fontId="100" fillId="0" borderId="0" applyFont="0" applyFill="0" applyBorder="0" applyAlignment="0" applyProtection="0"/>
    <xf numFmtId="169" fontId="100" fillId="0" borderId="0" applyFont="0" applyFill="0" applyBorder="0" applyAlignment="0" applyProtection="0"/>
    <xf numFmtId="169" fontId="100" fillId="0" borderId="0" applyFont="0" applyFill="0" applyBorder="0" applyAlignment="0" applyProtection="0"/>
    <xf numFmtId="41" fontId="100" fillId="0" borderId="0" applyFont="0" applyFill="0" applyBorder="0" applyAlignment="0" applyProtection="0"/>
    <xf numFmtId="169" fontId="100" fillId="0" borderId="0" applyFont="0" applyFill="0" applyBorder="0" applyAlignment="0" applyProtection="0"/>
    <xf numFmtId="41" fontId="100" fillId="0" borderId="0" applyFont="0" applyFill="0" applyBorder="0" applyAlignment="0" applyProtection="0"/>
    <xf numFmtId="169" fontId="100" fillId="0" borderId="0" applyFont="0" applyFill="0" applyBorder="0" applyAlignment="0" applyProtection="0"/>
    <xf numFmtId="169" fontId="100" fillId="0" borderId="0" applyFont="0" applyFill="0" applyBorder="0" applyAlignment="0" applyProtection="0"/>
    <xf numFmtId="169" fontId="100" fillId="0" borderId="0" applyFont="0" applyFill="0" applyBorder="0" applyAlignment="0" applyProtection="0"/>
    <xf numFmtId="169" fontId="100" fillId="0" borderId="0" applyFont="0" applyFill="0" applyBorder="0" applyAlignment="0" applyProtection="0"/>
    <xf numFmtId="169" fontId="100" fillId="0" borderId="0" applyFont="0" applyFill="0" applyBorder="0" applyAlignment="0" applyProtection="0"/>
    <xf numFmtId="43" fontId="100" fillId="0" borderId="0" applyFont="0" applyFill="0" applyBorder="0" applyAlignment="0" applyProtection="0"/>
    <xf numFmtId="170" fontId="100"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59" fontId="23" fillId="0" borderId="0" applyFont="0" applyFill="0" applyBorder="0" applyAlignment="0" applyProtection="0"/>
    <xf numFmtId="259" fontId="23" fillId="0" borderId="0" applyFont="0" applyFill="0" applyBorder="0" applyAlignment="0" applyProtection="0"/>
    <xf numFmtId="260" fontId="23" fillId="0" borderId="0" applyFont="0" applyFill="0" applyBorder="0" applyAlignment="0" applyProtection="0"/>
    <xf numFmtId="260" fontId="23"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43" fontId="100" fillId="0" borderId="0" applyFont="0" applyFill="0" applyBorder="0" applyAlignment="0" applyProtection="0"/>
    <xf numFmtId="170" fontId="100" fillId="0" borderId="0" applyFont="0" applyFill="0" applyBorder="0" applyAlignment="0" applyProtection="0"/>
    <xf numFmtId="43" fontId="100"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3" fontId="23" fillId="0" borderId="0" applyFont="0" applyBorder="0" applyAlignment="0"/>
    <xf numFmtId="0" fontId="101" fillId="0" borderId="0">
      <protection locked="0"/>
    </xf>
    <xf numFmtId="0" fontId="101" fillId="0" borderId="0">
      <protection locked="0"/>
    </xf>
    <xf numFmtId="185" fontId="75" fillId="0" borderId="0" applyFill="0" applyBorder="0" applyAlignment="0"/>
    <xf numFmtId="232" fontId="75" fillId="0" borderId="0" applyFill="0" applyBorder="0" applyAlignment="0"/>
    <xf numFmtId="185" fontId="75" fillId="0" borderId="0" applyFill="0" applyBorder="0" applyAlignment="0"/>
    <xf numFmtId="236" fontId="75" fillId="0" borderId="0" applyFill="0" applyBorder="0" applyAlignment="0"/>
    <xf numFmtId="232" fontId="75" fillId="0" borderId="0" applyFill="0" applyBorder="0" applyAlignment="0"/>
    <xf numFmtId="0" fontId="102" fillId="0" borderId="0" applyNumberFormat="0" applyAlignment="0">
      <alignment horizontal="left"/>
    </xf>
    <xf numFmtId="175" fontId="103" fillId="0" borderId="0">
      <protection locked="0"/>
    </xf>
    <xf numFmtId="175" fontId="103" fillId="0" borderId="0">
      <protection locked="0"/>
    </xf>
    <xf numFmtId="175" fontId="103" fillId="0" borderId="0">
      <protection locked="0"/>
    </xf>
    <xf numFmtId="175" fontId="103" fillId="0" borderId="0">
      <protection locked="0"/>
    </xf>
    <xf numFmtId="261" fontId="13" fillId="0" borderId="0" applyFon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3" fontId="23" fillId="0" borderId="0" applyFont="0" applyBorder="0" applyAlignment="0"/>
    <xf numFmtId="0" fontId="99" fillId="0" borderId="0">
      <protection locked="0"/>
    </xf>
    <xf numFmtId="0" fontId="99" fillId="0" borderId="0">
      <protection locked="0"/>
    </xf>
    <xf numFmtId="0" fontId="99" fillId="0" borderId="0">
      <protection locked="0"/>
    </xf>
    <xf numFmtId="0" fontId="99" fillId="0" borderId="0">
      <protection locked="0"/>
    </xf>
    <xf numFmtId="0" fontId="99" fillId="0" borderId="0">
      <protection locked="0"/>
    </xf>
    <xf numFmtId="0" fontId="99" fillId="0" borderId="0">
      <protection locked="0"/>
    </xf>
    <xf numFmtId="0" fontId="99" fillId="0" borderId="0">
      <protection locked="0"/>
    </xf>
    <xf numFmtId="0" fontId="99" fillId="0" borderId="0">
      <protection locked="0"/>
    </xf>
    <xf numFmtId="4" fontId="99" fillId="0" borderId="0">
      <protection locked="0"/>
    </xf>
    <xf numFmtId="0" fontId="99" fillId="0" borderId="0">
      <protection locked="0"/>
    </xf>
    <xf numFmtId="262" fontId="23" fillId="0" borderId="0">
      <protection locked="0"/>
    </xf>
    <xf numFmtId="2" fontId="13" fillId="0" borderId="0" applyFill="0" applyBorder="0" applyAlignment="0" applyProtection="0"/>
    <xf numFmtId="2" fontId="13" fillId="0" borderId="0" applyFont="0" applyFill="0" applyBorder="0" applyAlignment="0" applyProtection="0"/>
    <xf numFmtId="2" fontId="13" fillId="0" borderId="0" applyFill="0" applyBorder="0" applyAlignment="0" applyProtection="0"/>
    <xf numFmtId="0" fontId="106" fillId="0" borderId="0" applyNumberFormat="0" applyFill="0" applyBorder="0" applyAlignment="0" applyProtection="0"/>
    <xf numFmtId="0" fontId="107" fillId="0" borderId="0" applyNumberFormat="0" applyFill="0" applyBorder="0" applyProtection="0">
      <alignment vertical="center"/>
    </xf>
    <xf numFmtId="0" fontId="108" fillId="0" borderId="0" applyNumberFormat="0" applyFill="0" applyBorder="0" applyAlignment="0" applyProtection="0"/>
    <xf numFmtId="0" fontId="109" fillId="0" borderId="0" applyNumberFormat="0" applyFill="0" applyBorder="0" applyProtection="0">
      <alignment vertical="center"/>
    </xf>
    <xf numFmtId="0" fontId="110" fillId="0" borderId="0" applyNumberFormat="0" applyFill="0" applyBorder="0" applyAlignment="0" applyProtection="0"/>
    <xf numFmtId="0" fontId="111" fillId="0" borderId="0" applyNumberFormat="0" applyFill="0" applyBorder="0" applyAlignment="0" applyProtection="0"/>
    <xf numFmtId="263" fontId="25" fillId="0" borderId="33" applyNumberFormat="0" applyFill="0" applyBorder="0" applyAlignment="0" applyProtection="0"/>
    <xf numFmtId="263" fontId="25" fillId="0" borderId="33" applyNumberFormat="0" applyFill="0" applyBorder="0" applyAlignment="0" applyProtection="0"/>
    <xf numFmtId="0" fontId="112" fillId="0" borderId="0" applyNumberFormat="0" applyFill="0" applyBorder="0" applyAlignment="0" applyProtection="0"/>
    <xf numFmtId="0" fontId="113" fillId="44" borderId="34" applyNumberFormat="0" applyAlignment="0">
      <protection locked="0"/>
    </xf>
    <xf numFmtId="0" fontId="113" fillId="44" borderId="34" applyNumberFormat="0" applyAlignment="0">
      <protection locked="0"/>
    </xf>
    <xf numFmtId="0" fontId="113" fillId="44" borderId="34" applyNumberFormat="0" applyAlignment="0">
      <protection locked="0"/>
    </xf>
    <xf numFmtId="0" fontId="13" fillId="45" borderId="35" applyNumberFormat="0" applyFont="0" applyAlignment="0" applyProtection="0"/>
    <xf numFmtId="0" fontId="13" fillId="45" borderId="35" applyNumberFormat="0" applyFont="0" applyAlignment="0" applyProtection="0"/>
    <xf numFmtId="0" fontId="114" fillId="0" borderId="0">
      <alignment vertical="top" wrapText="1"/>
    </xf>
    <xf numFmtId="0" fontId="115" fillId="9" borderId="0" applyNumberFormat="0" applyBorder="0" applyAlignment="0" applyProtection="0"/>
    <xf numFmtId="0" fontId="116" fillId="10" borderId="0" applyNumberFormat="0" applyBorder="0" applyAlignment="0" applyProtection="0"/>
    <xf numFmtId="38" fontId="5" fillId="46" borderId="0" applyNumberFormat="0" applyBorder="0" applyAlignment="0" applyProtection="0"/>
    <xf numFmtId="264" fontId="117" fillId="2" borderId="0" applyBorder="0" applyProtection="0"/>
    <xf numFmtId="0" fontId="118" fillId="0" borderId="18" applyNumberFormat="0" applyFill="0" applyBorder="0" applyAlignment="0" applyProtection="0">
      <alignment horizontal="center" vertical="center"/>
    </xf>
    <xf numFmtId="0" fontId="119" fillId="0" borderId="0" applyNumberFormat="0" applyFont="0" applyBorder="0" applyAlignment="0">
      <alignment horizontal="left" vertical="center"/>
    </xf>
    <xf numFmtId="265" fontId="120" fillId="0" borderId="36" applyFont="0" applyFill="0" applyBorder="0" applyAlignment="0" applyProtection="0">
      <alignment horizontal="right"/>
    </xf>
    <xf numFmtId="0" fontId="121" fillId="47" borderId="0"/>
    <xf numFmtId="0" fontId="122" fillId="0" borderId="0">
      <alignment horizontal="left"/>
    </xf>
    <xf numFmtId="0" fontId="123" fillId="0" borderId="37" applyNumberFormat="0" applyAlignment="0" applyProtection="0">
      <alignment horizontal="left" vertical="center"/>
    </xf>
    <xf numFmtId="0" fontId="123" fillId="0" borderId="15">
      <alignment horizontal="left" vertical="center"/>
    </xf>
    <xf numFmtId="0" fontId="123" fillId="0" borderId="15">
      <alignment horizontal="left" vertical="center"/>
    </xf>
    <xf numFmtId="0" fontId="124" fillId="0" borderId="0" applyNumberFormat="0" applyFill="0" applyBorder="0" applyAlignment="0" applyProtection="0"/>
    <xf numFmtId="0" fontId="96" fillId="0" borderId="29" applyNumberFormat="0" applyFill="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97" fillId="0" borderId="30" applyNumberFormat="0" applyFill="0" applyAlignment="0" applyProtection="0"/>
    <xf numFmtId="0" fontId="123" fillId="0" borderId="0" applyNumberFormat="0" applyFill="0" applyBorder="0" applyAlignment="0" applyProtection="0"/>
    <xf numFmtId="0" fontId="125" fillId="0" borderId="31" applyNumberFormat="0" applyFill="0" applyAlignment="0" applyProtection="0"/>
    <xf numFmtId="0" fontId="98" fillId="0" borderId="31" applyNumberFormat="0" applyFill="0" applyAlignment="0" applyProtection="0"/>
    <xf numFmtId="0" fontId="125" fillId="0" borderId="0" applyNumberFormat="0" applyFill="0" applyBorder="0" applyAlignment="0" applyProtection="0"/>
    <xf numFmtId="0" fontId="98" fillId="0" borderId="0" applyNumberFormat="0" applyFill="0" applyBorder="0" applyAlignment="0" applyProtection="0"/>
    <xf numFmtId="266" fontId="22" fillId="0" borderId="0">
      <protection locked="0"/>
    </xf>
    <xf numFmtId="266" fontId="22" fillId="0" borderId="0">
      <protection locked="0"/>
    </xf>
    <xf numFmtId="0" fontId="126" fillId="0" borderId="38">
      <alignment horizontal="center"/>
    </xf>
    <xf numFmtId="0" fontId="126" fillId="0" borderId="0">
      <alignment horizontal="center"/>
    </xf>
    <xf numFmtId="222" fontId="127" fillId="48" borderId="1" applyNumberFormat="0" applyAlignment="0">
      <alignment horizontal="left" vertical="top"/>
    </xf>
    <xf numFmtId="222" fontId="127" fillId="48" borderId="1" applyNumberFormat="0" applyAlignment="0">
      <alignment horizontal="left" vertical="top"/>
    </xf>
    <xf numFmtId="0" fontId="128" fillId="0" borderId="0"/>
    <xf numFmtId="49" fontId="129" fillId="0" borderId="1">
      <alignment vertical="center"/>
    </xf>
    <xf numFmtId="49" fontId="129" fillId="0" borderId="1">
      <alignment vertical="center"/>
    </xf>
    <xf numFmtId="0" fontId="14" fillId="0" borderId="0"/>
    <xf numFmtId="41" fontId="23" fillId="0" borderId="0" applyFont="0" applyFill="0" applyBorder="0" applyAlignment="0" applyProtection="0"/>
    <xf numFmtId="38" fontId="38" fillId="0" borderId="0" applyFont="0" applyFill="0" applyBorder="0" applyAlignment="0" applyProtection="0"/>
    <xf numFmtId="216" fontId="37" fillId="0" borderId="0" applyFont="0" applyFill="0" applyBorder="0" applyAlignment="0" applyProtection="0"/>
    <xf numFmtId="267" fontId="130" fillId="0" borderId="0" applyFont="0" applyFill="0" applyBorder="0" applyAlignment="0" applyProtection="0"/>
    <xf numFmtId="10" fontId="5" fillId="46" borderId="1" applyNumberFormat="0" applyBorder="0" applyAlignment="0" applyProtection="0"/>
    <xf numFmtId="10" fontId="5" fillId="46" borderId="1" applyNumberFormat="0" applyBorder="0" applyAlignment="0" applyProtection="0"/>
    <xf numFmtId="0" fontId="131" fillId="15" borderId="25" applyNumberFormat="0" applyAlignment="0" applyProtection="0"/>
    <xf numFmtId="0" fontId="131" fillId="15" borderId="25" applyNumberFormat="0" applyAlignment="0" applyProtection="0"/>
    <xf numFmtId="0" fontId="94" fillId="16" borderId="25" applyNumberFormat="0" applyAlignment="0" applyProtection="0"/>
    <xf numFmtId="0" fontId="94" fillId="16" borderId="25" applyNumberFormat="0" applyAlignment="0" applyProtection="0"/>
    <xf numFmtId="0" fontId="94" fillId="16" borderId="25" applyNumberFormat="0" applyAlignment="0" applyProtection="0"/>
    <xf numFmtId="0" fontId="94" fillId="16" borderId="25" applyNumberFormat="0" applyAlignment="0" applyProtection="0"/>
    <xf numFmtId="0" fontId="94" fillId="16" borderId="25" applyNumberFormat="0" applyAlignment="0" applyProtection="0"/>
    <xf numFmtId="2" fontId="41" fillId="0" borderId="14" applyBorder="0"/>
    <xf numFmtId="2" fontId="41" fillId="0" borderId="14" applyBorder="0"/>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41" fontId="23" fillId="0" borderId="0" applyFont="0" applyFill="0" applyBorder="0" applyAlignment="0" applyProtection="0"/>
    <xf numFmtId="0" fontId="23" fillId="0" borderId="0"/>
    <xf numFmtId="2" fontId="135" fillId="0" borderId="3" applyBorder="0"/>
    <xf numFmtId="2" fontId="135" fillId="0" borderId="3" applyBorder="0"/>
    <xf numFmtId="0" fontId="66" fillId="0" borderId="39">
      <alignment horizontal="centerContinuous"/>
    </xf>
    <xf numFmtId="0" fontId="66" fillId="0" borderId="39">
      <alignment horizontal="centerContinuous"/>
    </xf>
    <xf numFmtId="0" fontId="80" fillId="42" borderId="26" applyNumberFormat="0" applyAlignment="0" applyProtection="0"/>
    <xf numFmtId="0" fontId="136" fillId="0" borderId="40">
      <alignment horizontal="center" vertical="center" wrapText="1"/>
    </xf>
    <xf numFmtId="0" fontId="83" fillId="46" borderId="0" applyNumberFormat="0" applyFont="0" applyBorder="0" applyAlignment="0"/>
    <xf numFmtId="0" fontId="83" fillId="46" borderId="0" applyNumberFormat="0" applyFont="0" applyBorder="0" applyAlignment="0"/>
    <xf numFmtId="0" fontId="38" fillId="0" borderId="0"/>
    <xf numFmtId="0" fontId="59" fillId="0" borderId="0"/>
    <xf numFmtId="0" fontId="137" fillId="0" borderId="0"/>
    <xf numFmtId="0" fontId="59" fillId="0" borderId="0"/>
    <xf numFmtId="0" fontId="14" fillId="0" borderId="0" applyNumberFormat="0" applyFont="0" applyFill="0" applyBorder="0" applyProtection="0">
      <alignment horizontal="left" vertical="center"/>
    </xf>
    <xf numFmtId="0" fontId="38" fillId="0" borderId="0"/>
    <xf numFmtId="185" fontId="75" fillId="0" borderId="0" applyFill="0" applyBorder="0" applyAlignment="0"/>
    <xf numFmtId="232" fontId="75" fillId="0" borderId="0" applyFill="0" applyBorder="0" applyAlignment="0"/>
    <xf numFmtId="185" fontId="75" fillId="0" borderId="0" applyFill="0" applyBorder="0" applyAlignment="0"/>
    <xf numFmtId="236" fontId="75" fillId="0" borderId="0" applyFill="0" applyBorder="0" applyAlignment="0"/>
    <xf numFmtId="232" fontId="75" fillId="0" borderId="0" applyFill="0" applyBorder="0" applyAlignment="0"/>
    <xf numFmtId="0" fontId="138" fillId="0" borderId="41" applyNumberFormat="0" applyFill="0" applyAlignment="0" applyProtection="0"/>
    <xf numFmtId="0" fontId="139" fillId="0" borderId="41" applyNumberFormat="0" applyFill="0" applyAlignment="0" applyProtection="0"/>
    <xf numFmtId="247" fontId="140" fillId="0" borderId="17" applyNumberFormat="0" applyFont="0" applyFill="0" applyBorder="0">
      <alignment horizontal="center"/>
    </xf>
    <xf numFmtId="38" fontId="38" fillId="0" borderId="0" applyFont="0" applyFill="0" applyBorder="0" applyAlignment="0" applyProtection="0"/>
    <xf numFmtId="4" fontId="75" fillId="0" borderId="0" applyFont="0" applyFill="0" applyBorder="0" applyAlignment="0" applyProtection="0"/>
    <xf numFmtId="214" fontId="14" fillId="0" borderId="0" applyFont="0" applyFill="0" applyBorder="0" applyAlignment="0" applyProtection="0"/>
    <xf numFmtId="40" fontId="38"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141" fillId="0" borderId="38"/>
    <xf numFmtId="268" fontId="142" fillId="0" borderId="17"/>
    <xf numFmtId="269" fontId="38" fillId="0" borderId="0" applyFont="0" applyFill="0" applyBorder="0" applyAlignment="0" applyProtection="0"/>
    <xf numFmtId="270" fontId="38" fillId="0" borderId="0" applyFont="0" applyFill="0" applyBorder="0" applyAlignment="0" applyProtection="0"/>
    <xf numFmtId="43" fontId="103" fillId="0" borderId="0">
      <protection locked="0"/>
    </xf>
    <xf numFmtId="271" fontId="13" fillId="0" borderId="0" applyFont="0" applyFill="0" applyBorder="0" applyAlignment="0" applyProtection="0"/>
    <xf numFmtId="43" fontId="103" fillId="0" borderId="0">
      <protection locked="0"/>
    </xf>
    <xf numFmtId="43" fontId="103" fillId="0" borderId="0">
      <protection locked="0"/>
    </xf>
    <xf numFmtId="272" fontId="13" fillId="0" borderId="0" applyFont="0" applyFill="0" applyBorder="0" applyAlignment="0" applyProtection="0"/>
    <xf numFmtId="0" fontId="137" fillId="0" borderId="0" applyNumberFormat="0" applyFont="0" applyFill="0" applyAlignment="0"/>
    <xf numFmtId="0" fontId="137" fillId="0" borderId="0" applyNumberFormat="0" applyFont="0" applyFill="0" applyAlignment="0"/>
    <xf numFmtId="0" fontId="26" fillId="0" borderId="0" applyNumberFormat="0" applyFill="0" applyAlignment="0"/>
    <xf numFmtId="0" fontId="26" fillId="0" borderId="0" applyNumberFormat="0" applyFill="0" applyAlignment="0"/>
    <xf numFmtId="0" fontId="137" fillId="0" borderId="0" applyNumberFormat="0" applyFont="0" applyFill="0" applyAlignment="0"/>
    <xf numFmtId="0" fontId="143" fillId="49" borderId="0" applyNumberFormat="0" applyBorder="0" applyAlignment="0" applyProtection="0"/>
    <xf numFmtId="0" fontId="144" fillId="50" borderId="0" applyNumberFormat="0" applyBorder="0" applyAlignment="0" applyProtection="0"/>
    <xf numFmtId="0" fontId="42" fillId="0" borderId="1"/>
    <xf numFmtId="0" fontId="42" fillId="0" borderId="1"/>
    <xf numFmtId="0" fontId="14" fillId="0" borderId="0"/>
    <xf numFmtId="0" fontId="27" fillId="0" borderId="13" applyNumberFormat="0" applyAlignment="0">
      <alignment horizontal="center"/>
    </xf>
    <xf numFmtId="0" fontId="63" fillId="33" borderId="0" applyNumberFormat="0" applyBorder="0" applyAlignment="0" applyProtection="0"/>
    <xf numFmtId="0" fontId="63" fillId="35" borderId="0" applyNumberFormat="0" applyBorder="0" applyAlignment="0" applyProtection="0"/>
    <xf numFmtId="0" fontId="63" fillId="37" borderId="0" applyNumberFormat="0" applyBorder="0" applyAlignment="0" applyProtection="0"/>
    <xf numFmtId="0" fontId="63" fillId="27" borderId="0" applyNumberFormat="0" applyBorder="0" applyAlignment="0" applyProtection="0"/>
    <xf numFmtId="0" fontId="63" fillId="29" borderId="0" applyNumberFormat="0" applyBorder="0" applyAlignment="0" applyProtection="0"/>
    <xf numFmtId="0" fontId="63" fillId="39" borderId="0" applyNumberFormat="0" applyBorder="0" applyAlignment="0" applyProtection="0"/>
    <xf numFmtId="37" fontId="145" fillId="0" borderId="0"/>
    <xf numFmtId="0" fontId="146" fillId="0" borderId="1" applyNumberFormat="0" applyFont="0" applyFill="0" applyBorder="0" applyAlignment="0">
      <alignment horizontal="center"/>
    </xf>
    <xf numFmtId="0" fontId="146" fillId="0" borderId="1" applyNumberFormat="0" applyFont="0" applyFill="0" applyBorder="0" applyAlignment="0">
      <alignment horizontal="center"/>
    </xf>
    <xf numFmtId="0" fontId="147" fillId="0" borderId="0"/>
    <xf numFmtId="273" fontId="25" fillId="0" borderId="0"/>
    <xf numFmtId="274" fontId="23" fillId="0" borderId="0"/>
    <xf numFmtId="274" fontId="23" fillId="0" borderId="0"/>
    <xf numFmtId="0" fontId="13" fillId="0" borderId="0"/>
    <xf numFmtId="274" fontId="23" fillId="0" borderId="0"/>
    <xf numFmtId="274" fontId="23" fillId="0" borderId="0"/>
    <xf numFmtId="275" fontId="40" fillId="0" borderId="0"/>
    <xf numFmtId="275" fontId="40" fillId="0" borderId="0"/>
    <xf numFmtId="275" fontId="40" fillId="0" borderId="0"/>
    <xf numFmtId="275" fontId="40" fillId="0" borderId="0"/>
    <xf numFmtId="275" fontId="40" fillId="0" borderId="0"/>
    <xf numFmtId="273" fontId="25" fillId="0" borderId="0"/>
    <xf numFmtId="273" fontId="25" fillId="0" borderId="0"/>
    <xf numFmtId="276" fontId="23" fillId="0" borderId="0"/>
    <xf numFmtId="0" fontId="148" fillId="0" borderId="0"/>
    <xf numFmtId="0" fontId="89" fillId="0" borderId="0"/>
    <xf numFmtId="0" fontId="59" fillId="0" borderId="0"/>
    <xf numFmtId="0" fontId="59" fillId="0" borderId="0"/>
    <xf numFmtId="0" fontId="149" fillId="0" borderId="0"/>
    <xf numFmtId="0" fontId="59" fillId="0" borderId="0"/>
    <xf numFmtId="0" fontId="87" fillId="0" borderId="0"/>
    <xf numFmtId="0" fontId="59" fillId="0" borderId="0"/>
    <xf numFmtId="0" fontId="12" fillId="0" borderId="0"/>
    <xf numFmtId="0" fontId="5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0" fillId="0" borderId="0"/>
    <xf numFmtId="0" fontId="12" fillId="0" borderId="0"/>
    <xf numFmtId="0" fontId="12" fillId="0" borderId="0"/>
    <xf numFmtId="0" fontId="12" fillId="0" borderId="0"/>
    <xf numFmtId="0" fontId="151" fillId="0" borderId="0"/>
    <xf numFmtId="0" fontId="13" fillId="0" borderId="0"/>
    <xf numFmtId="0" fontId="28" fillId="0" borderId="0"/>
    <xf numFmtId="3" fontId="42" fillId="0" borderId="0"/>
    <xf numFmtId="0" fontId="13" fillId="0" borderId="0"/>
    <xf numFmtId="0" fontId="26" fillId="0" borderId="0"/>
    <xf numFmtId="0" fontId="19"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89" fillId="0" borderId="0"/>
    <xf numFmtId="0" fontId="89" fillId="0" borderId="0"/>
    <xf numFmtId="0" fontId="13" fillId="0" borderId="0"/>
    <xf numFmtId="0" fontId="152" fillId="0" borderId="0" applyProtection="0"/>
    <xf numFmtId="0" fontId="152" fillId="0" borderId="0" applyProtection="0"/>
    <xf numFmtId="0" fontId="153" fillId="0" borderId="0"/>
    <xf numFmtId="0" fontId="59" fillId="0" borderId="0"/>
    <xf numFmtId="0" fontId="13" fillId="0" borderId="0"/>
    <xf numFmtId="0" fontId="59" fillId="0" borderId="0"/>
    <xf numFmtId="0" fontId="87" fillId="0" borderId="0"/>
    <xf numFmtId="0" fontId="59" fillId="0" borderId="0"/>
    <xf numFmtId="0" fontId="59" fillId="0" borderId="0"/>
    <xf numFmtId="0" fontId="13" fillId="0" borderId="0"/>
    <xf numFmtId="0" fontId="154" fillId="0" borderId="0"/>
    <xf numFmtId="0" fontId="154" fillId="0" borderId="0"/>
    <xf numFmtId="0" fontId="154" fillId="0" borderId="0"/>
    <xf numFmtId="0" fontId="154" fillId="0" borderId="0"/>
    <xf numFmtId="0" fontId="13" fillId="0" borderId="0"/>
    <xf numFmtId="0" fontId="13" fillId="0" borderId="0"/>
    <xf numFmtId="0" fontId="13" fillId="0" borderId="0"/>
    <xf numFmtId="0" fontId="12" fillId="0" borderId="0"/>
    <xf numFmtId="0" fontId="154" fillId="0" borderId="0"/>
    <xf numFmtId="0" fontId="155" fillId="0" borderId="0"/>
    <xf numFmtId="0" fontId="87" fillId="0" borderId="0"/>
    <xf numFmtId="0" fontId="156" fillId="0" borderId="0"/>
    <xf numFmtId="0" fontId="12" fillId="0" borderId="0"/>
    <xf numFmtId="0" fontId="157" fillId="0" borderId="0"/>
    <xf numFmtId="0" fontId="13" fillId="0" borderId="0"/>
    <xf numFmtId="0" fontId="26" fillId="0" borderId="0"/>
    <xf numFmtId="0" fontId="87" fillId="0" borderId="0"/>
    <xf numFmtId="0" fontId="13" fillId="0" borderId="0"/>
    <xf numFmtId="0" fontId="13" fillId="0" borderId="0"/>
    <xf numFmtId="0" fontId="13" fillId="0" borderId="0"/>
    <xf numFmtId="0" fontId="87" fillId="0" borderId="0"/>
    <xf numFmtId="0" fontId="19" fillId="0" borderId="0"/>
    <xf numFmtId="0" fontId="12" fillId="0" borderId="0"/>
    <xf numFmtId="0" fontId="19" fillId="0" borderId="0"/>
    <xf numFmtId="0" fontId="19" fillId="0" borderId="0"/>
    <xf numFmtId="0" fontId="19" fillId="0" borderId="0"/>
    <xf numFmtId="0" fontId="19" fillId="0" borderId="0"/>
    <xf numFmtId="0" fontId="12" fillId="0" borderId="0"/>
    <xf numFmtId="0" fontId="158" fillId="0" borderId="0"/>
    <xf numFmtId="0" fontId="159" fillId="0" borderId="0" applyNumberFormat="0" applyFill="0" applyBorder="0" applyProtection="0">
      <alignment vertical="top"/>
    </xf>
    <xf numFmtId="0" fontId="12" fillId="0" borderId="0"/>
    <xf numFmtId="0" fontId="87" fillId="0" borderId="0"/>
    <xf numFmtId="0" fontId="149" fillId="0" borderId="0"/>
    <xf numFmtId="0" fontId="12" fillId="0" borderId="0"/>
    <xf numFmtId="0" fontId="59" fillId="0" borderId="0"/>
    <xf numFmtId="0" fontId="12" fillId="0" borderId="0"/>
    <xf numFmtId="0" fontId="12" fillId="0" borderId="0"/>
    <xf numFmtId="0" fontId="59" fillId="0" borderId="0"/>
    <xf numFmtId="0" fontId="13" fillId="0" borderId="0"/>
    <xf numFmtId="0" fontId="23" fillId="0" borderId="0"/>
    <xf numFmtId="0" fontId="48" fillId="0" borderId="0" applyFont="0"/>
    <xf numFmtId="0" fontId="160" fillId="0" borderId="0">
      <alignment horizontal="left" vertical="top"/>
    </xf>
    <xf numFmtId="0" fontId="75" fillId="46" borderId="0"/>
    <xf numFmtId="0" fontId="100" fillId="0" borderId="0"/>
    <xf numFmtId="0" fontId="13" fillId="45" borderId="35" applyNumberFormat="0" applyFont="0" applyAlignment="0" applyProtection="0"/>
    <xf numFmtId="0" fontId="13" fillId="45" borderId="35" applyNumberFormat="0" applyFont="0" applyAlignment="0" applyProtection="0"/>
    <xf numFmtId="0" fontId="13" fillId="51" borderId="35" applyNumberFormat="0" applyAlignment="0" applyProtection="0"/>
    <xf numFmtId="277" fontId="43" fillId="0" borderId="0" applyFont="0" applyFill="0" applyBorder="0" applyProtection="0">
      <alignment vertical="top" wrapText="1"/>
    </xf>
    <xf numFmtId="0" fontId="139" fillId="0" borderId="41" applyNumberFormat="0" applyFill="0" applyAlignment="0" applyProtection="0"/>
    <xf numFmtId="0" fontId="27" fillId="0" borderId="0"/>
    <xf numFmtId="43" fontId="46" fillId="0" borderId="0" applyFont="0" applyFill="0" applyBorder="0" applyAlignment="0" applyProtection="0"/>
    <xf numFmtId="41" fontId="46" fillId="0" borderId="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42" fillId="0" borderId="0" applyNumberFormat="0" applyFill="0" applyBorder="0" applyAlignment="0" applyProtection="0"/>
    <xf numFmtId="0" fontId="23" fillId="0" borderId="0" applyNumberFormat="0" applyFill="0" applyBorder="0" applyAlignment="0" applyProtection="0"/>
    <xf numFmtId="0" fontId="26" fillId="0" borderId="0" applyFill="0" applyBorder="0" applyAlignment="0" applyProtection="0"/>
    <xf numFmtId="0" fontId="14" fillId="0" borderId="0"/>
    <xf numFmtId="0" fontId="162" fillId="41" borderId="28" applyNumberFormat="0" applyAlignment="0" applyProtection="0"/>
    <xf numFmtId="0" fontId="162" fillId="41" borderId="28" applyNumberFormat="0" applyAlignment="0" applyProtection="0"/>
    <xf numFmtId="0" fontId="93" fillId="3" borderId="28" applyNumberFormat="0" applyAlignment="0" applyProtection="0"/>
    <xf numFmtId="173" fontId="163" fillId="0" borderId="13" applyFont="0" applyBorder="0" applyAlignment="0"/>
    <xf numFmtId="0" fontId="164" fillId="46" borderId="0"/>
    <xf numFmtId="169" fontId="13" fillId="0" borderId="0" applyFont="0" applyFill="0" applyBorder="0" applyAlignment="0" applyProtection="0"/>
    <xf numFmtId="14" fontId="66" fillId="0" borderId="0">
      <alignment horizontal="center" wrapText="1"/>
      <protection locked="0"/>
    </xf>
    <xf numFmtId="235" fontId="13" fillId="0" borderId="0" applyFont="0" applyFill="0" applyBorder="0" applyAlignment="0" applyProtection="0"/>
    <xf numFmtId="245"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59" fillId="0" borderId="0" applyFont="0" applyFill="0" applyBorder="0" applyAlignment="0" applyProtection="0"/>
    <xf numFmtId="9" fontId="156" fillId="0" borderId="0" applyFont="0" applyFill="0" applyBorder="0" applyAlignment="0" applyProtection="0"/>
    <xf numFmtId="9" fontId="5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13" fillId="0" borderId="0" applyFont="0" applyFill="0" applyBorder="0" applyAlignment="0" applyProtection="0"/>
    <xf numFmtId="9" fontId="38" fillId="0" borderId="42" applyNumberFormat="0" applyBorder="0"/>
    <xf numFmtId="0" fontId="13" fillId="0" borderId="0"/>
    <xf numFmtId="173" fontId="103" fillId="0" borderId="0">
      <protection locked="0"/>
    </xf>
    <xf numFmtId="173" fontId="103" fillId="0" borderId="0">
      <protection locked="0"/>
    </xf>
    <xf numFmtId="185" fontId="75" fillId="0" borderId="0" applyFill="0" applyBorder="0" applyAlignment="0"/>
    <xf numFmtId="232" fontId="75" fillId="0" borderId="0" applyFill="0" applyBorder="0" applyAlignment="0"/>
    <xf numFmtId="185" fontId="75" fillId="0" borderId="0" applyFill="0" applyBorder="0" applyAlignment="0"/>
    <xf numFmtId="236" fontId="75" fillId="0" borderId="0" applyFill="0" applyBorder="0" applyAlignment="0"/>
    <xf numFmtId="232" fontId="75" fillId="0" borderId="0" applyFill="0" applyBorder="0" applyAlignment="0"/>
    <xf numFmtId="0" fontId="165" fillId="0" borderId="0"/>
    <xf numFmtId="0" fontId="38" fillId="0" borderId="0" applyNumberFormat="0" applyFont="0" applyFill="0" applyBorder="0" applyAlignment="0" applyProtection="0">
      <alignment horizontal="left"/>
    </xf>
    <xf numFmtId="0" fontId="166" fillId="0" borderId="38">
      <alignment horizontal="center"/>
    </xf>
    <xf numFmtId="0" fontId="167" fillId="52" borderId="0" applyNumberFormat="0" applyFont="0" applyBorder="0" applyAlignment="0">
      <alignment horizontal="center"/>
    </xf>
    <xf numFmtId="14" fontId="168" fillId="0" borderId="0" applyNumberFormat="0" applyFill="0" applyBorder="0" applyAlignment="0" applyProtection="0">
      <alignment horizontal="left"/>
    </xf>
    <xf numFmtId="0" fontId="133" fillId="0" borderId="0" applyNumberFormat="0" applyFill="0" applyBorder="0" applyAlignment="0" applyProtection="0">
      <alignment vertical="top"/>
      <protection locked="0"/>
    </xf>
    <xf numFmtId="0" fontId="27" fillId="0" borderId="0"/>
    <xf numFmtId="216" fontId="37" fillId="0" borderId="0" applyFont="0" applyFill="0" applyBorder="0" applyAlignment="0" applyProtection="0"/>
    <xf numFmtId="0" fontId="23" fillId="0" borderId="0" applyNumberFormat="0" applyFill="0" applyBorder="0" applyAlignment="0" applyProtection="0"/>
    <xf numFmtId="4" fontId="169" fillId="53" borderId="43" applyNumberFormat="0" applyProtection="0">
      <alignment vertical="center"/>
    </xf>
    <xf numFmtId="4" fontId="169" fillId="53" borderId="43" applyNumberFormat="0" applyProtection="0">
      <alignment vertical="center"/>
    </xf>
    <xf numFmtId="4" fontId="170" fillId="53" borderId="43" applyNumberFormat="0" applyProtection="0">
      <alignment vertical="center"/>
    </xf>
    <xf numFmtId="4" fontId="170" fillId="53" borderId="43" applyNumberFormat="0" applyProtection="0">
      <alignment vertical="center"/>
    </xf>
    <xf numFmtId="4" fontId="171" fillId="53" borderId="43" applyNumberFormat="0" applyProtection="0">
      <alignment horizontal="left" vertical="center" indent="1"/>
    </xf>
    <xf numFmtId="4" fontId="171" fillId="53" borderId="43" applyNumberFormat="0" applyProtection="0">
      <alignment horizontal="left" vertical="center" indent="1"/>
    </xf>
    <xf numFmtId="4" fontId="171" fillId="54" borderId="0" applyNumberFormat="0" applyProtection="0">
      <alignment horizontal="left" vertical="center" indent="1"/>
    </xf>
    <xf numFmtId="4" fontId="171" fillId="55" borderId="43" applyNumberFormat="0" applyProtection="0">
      <alignment horizontal="right" vertical="center"/>
    </xf>
    <xf numFmtId="4" fontId="171" fillId="55" borderId="43" applyNumberFormat="0" applyProtection="0">
      <alignment horizontal="right" vertical="center"/>
    </xf>
    <xf numFmtId="4" fontId="171" fillId="56" borderId="43" applyNumberFormat="0" applyProtection="0">
      <alignment horizontal="right" vertical="center"/>
    </xf>
    <xf numFmtId="4" fontId="171" fillId="56" borderId="43" applyNumberFormat="0" applyProtection="0">
      <alignment horizontal="right" vertical="center"/>
    </xf>
    <xf numFmtId="4" fontId="171" fillId="57" borderId="43" applyNumberFormat="0" applyProtection="0">
      <alignment horizontal="right" vertical="center"/>
    </xf>
    <xf numFmtId="4" fontId="171" fillId="57" borderId="43" applyNumberFormat="0" applyProtection="0">
      <alignment horizontal="right" vertical="center"/>
    </xf>
    <xf numFmtId="4" fontId="171" fillId="58" borderId="43" applyNumberFormat="0" applyProtection="0">
      <alignment horizontal="right" vertical="center"/>
    </xf>
    <xf numFmtId="4" fontId="171" fillId="58" borderId="43" applyNumberFormat="0" applyProtection="0">
      <alignment horizontal="right" vertical="center"/>
    </xf>
    <xf numFmtId="4" fontId="171" fillId="59" borderId="43" applyNumberFormat="0" applyProtection="0">
      <alignment horizontal="right" vertical="center"/>
    </xf>
    <xf numFmtId="4" fontId="171" fillId="59" borderId="43" applyNumberFormat="0" applyProtection="0">
      <alignment horizontal="right" vertical="center"/>
    </xf>
    <xf numFmtId="4" fontId="171" fillId="60" borderId="43" applyNumberFormat="0" applyProtection="0">
      <alignment horizontal="right" vertical="center"/>
    </xf>
    <xf numFmtId="4" fontId="171" fillId="60" borderId="43" applyNumberFormat="0" applyProtection="0">
      <alignment horizontal="right" vertical="center"/>
    </xf>
    <xf numFmtId="4" fontId="171" fillId="61" borderId="43" applyNumberFormat="0" applyProtection="0">
      <alignment horizontal="right" vertical="center"/>
    </xf>
    <xf numFmtId="4" fontId="171" fillId="61" borderId="43" applyNumberFormat="0" applyProtection="0">
      <alignment horizontal="right" vertical="center"/>
    </xf>
    <xf numFmtId="4" fontId="171" fillId="62" borderId="43" applyNumberFormat="0" applyProtection="0">
      <alignment horizontal="right" vertical="center"/>
    </xf>
    <xf numFmtId="4" fontId="171" fillId="62" borderId="43" applyNumberFormat="0" applyProtection="0">
      <alignment horizontal="right" vertical="center"/>
    </xf>
    <xf numFmtId="4" fontId="171" fillId="63" borderId="43" applyNumberFormat="0" applyProtection="0">
      <alignment horizontal="right" vertical="center"/>
    </xf>
    <xf numFmtId="4" fontId="171" fillId="63" borderId="43" applyNumberFormat="0" applyProtection="0">
      <alignment horizontal="right" vertical="center"/>
    </xf>
    <xf numFmtId="4" fontId="169" fillId="64" borderId="44" applyNumberFormat="0" applyProtection="0">
      <alignment horizontal="left" vertical="center" indent="1"/>
    </xf>
    <xf numFmtId="4" fontId="169" fillId="65" borderId="0" applyNumberFormat="0" applyProtection="0">
      <alignment horizontal="left" vertical="center" indent="1"/>
    </xf>
    <xf numFmtId="4" fontId="169" fillId="54" borderId="0" applyNumberFormat="0" applyProtection="0">
      <alignment horizontal="left" vertical="center" indent="1"/>
    </xf>
    <xf numFmtId="4" fontId="171" fillId="65" borderId="43" applyNumberFormat="0" applyProtection="0">
      <alignment horizontal="right" vertical="center"/>
    </xf>
    <xf numFmtId="4" fontId="171" fillId="65" borderId="43" applyNumberFormat="0" applyProtection="0">
      <alignment horizontal="right" vertical="center"/>
    </xf>
    <xf numFmtId="4" fontId="39" fillId="65" borderId="0" applyNumberFormat="0" applyProtection="0">
      <alignment horizontal="left" vertical="center" indent="1"/>
    </xf>
    <xf numFmtId="4" fontId="39" fillId="54" borderId="0" applyNumberFormat="0" applyProtection="0">
      <alignment horizontal="left" vertical="center" indent="1"/>
    </xf>
    <xf numFmtId="4" fontId="171" fillId="66" borderId="43" applyNumberFormat="0" applyProtection="0">
      <alignment vertical="center"/>
    </xf>
    <xf numFmtId="4" fontId="171" fillId="66" borderId="43" applyNumberFormat="0" applyProtection="0">
      <alignment vertical="center"/>
    </xf>
    <xf numFmtId="4" fontId="172" fillId="66" borderId="43" applyNumberFormat="0" applyProtection="0">
      <alignment vertical="center"/>
    </xf>
    <xf numFmtId="4" fontId="172" fillId="66" borderId="43" applyNumberFormat="0" applyProtection="0">
      <alignment vertical="center"/>
    </xf>
    <xf numFmtId="4" fontId="169" fillId="65" borderId="45" applyNumberFormat="0" applyProtection="0">
      <alignment horizontal="left" vertical="center" indent="1"/>
    </xf>
    <xf numFmtId="4" fontId="169" fillId="65" borderId="45" applyNumberFormat="0" applyProtection="0">
      <alignment horizontal="left" vertical="center" indent="1"/>
    </xf>
    <xf numFmtId="4" fontId="171" fillId="66" borderId="43" applyNumberFormat="0" applyProtection="0">
      <alignment horizontal="right" vertical="center"/>
    </xf>
    <xf numFmtId="4" fontId="171" fillId="66" borderId="43" applyNumberFormat="0" applyProtection="0">
      <alignment horizontal="right" vertical="center"/>
    </xf>
    <xf numFmtId="4" fontId="172" fillId="66" borderId="43" applyNumberFormat="0" applyProtection="0">
      <alignment horizontal="right" vertical="center"/>
    </xf>
    <xf numFmtId="4" fontId="172" fillId="66" borderId="43" applyNumberFormat="0" applyProtection="0">
      <alignment horizontal="right" vertical="center"/>
    </xf>
    <xf numFmtId="4" fontId="169" fillId="65" borderId="43" applyNumberFormat="0" applyProtection="0">
      <alignment horizontal="left" vertical="center" indent="1"/>
    </xf>
    <xf numFmtId="4" fontId="169" fillId="65" borderId="43" applyNumberFormat="0" applyProtection="0">
      <alignment horizontal="left" vertical="center" indent="1"/>
    </xf>
    <xf numFmtId="4" fontId="173" fillId="48" borderId="45" applyNumberFormat="0" applyProtection="0">
      <alignment horizontal="left" vertical="center" indent="1"/>
    </xf>
    <xf numFmtId="4" fontId="173" fillId="48" borderId="45" applyNumberFormat="0" applyProtection="0">
      <alignment horizontal="left" vertical="center" indent="1"/>
    </xf>
    <xf numFmtId="4" fontId="174" fillId="66" borderId="43" applyNumberFormat="0" applyProtection="0">
      <alignment horizontal="right" vertical="center"/>
    </xf>
    <xf numFmtId="4" fontId="174" fillId="66" borderId="43" applyNumberFormat="0" applyProtection="0">
      <alignment horizontal="right" vertical="center"/>
    </xf>
    <xf numFmtId="278" fontId="175" fillId="0" borderId="0" applyFont="0" applyFill="0" applyBorder="0" applyAlignment="0" applyProtection="0"/>
    <xf numFmtId="0" fontId="167" fillId="1" borderId="15" applyNumberFormat="0" applyFont="0" applyAlignment="0">
      <alignment horizontal="center"/>
    </xf>
    <xf numFmtId="0" fontId="167" fillId="1" borderId="15" applyNumberFormat="0" applyFont="0" applyAlignment="0">
      <alignment horizontal="center"/>
    </xf>
    <xf numFmtId="4" fontId="13" fillId="0" borderId="4" applyBorder="0"/>
    <xf numFmtId="2" fontId="13" fillId="0" borderId="4"/>
    <xf numFmtId="279" fontId="13" fillId="0" borderId="0"/>
    <xf numFmtId="3" fontId="22" fillId="0" borderId="0"/>
    <xf numFmtId="0" fontId="176" fillId="0" borderId="0" applyNumberFormat="0" applyFill="0" applyBorder="0" applyAlignment="0">
      <alignment horizontal="center"/>
    </xf>
    <xf numFmtId="0" fontId="177" fillId="0" borderId="46" applyNumberFormat="0" applyFill="0" applyBorder="0" applyAlignment="0" applyProtection="0"/>
    <xf numFmtId="0" fontId="177" fillId="0" borderId="46" applyNumberFormat="0" applyFill="0" applyBorder="0" applyAlignment="0" applyProtection="0"/>
    <xf numFmtId="0" fontId="13" fillId="0" borderId="0"/>
    <xf numFmtId="1" fontId="13" fillId="0" borderId="0"/>
    <xf numFmtId="173" fontId="178" fillId="0" borderId="0" applyNumberFormat="0" applyBorder="0" applyAlignment="0">
      <alignment horizontal="centerContinuous"/>
    </xf>
    <xf numFmtId="0" fontId="23" fillId="0" borderId="4">
      <alignment horizontal="center"/>
    </xf>
    <xf numFmtId="0" fontId="29" fillId="0" borderId="0"/>
    <xf numFmtId="173" fontId="28" fillId="0" borderId="0" applyFont="0" applyFill="0" applyBorder="0" applyAlignment="0" applyProtection="0"/>
    <xf numFmtId="216" fontId="37" fillId="0" borderId="0" applyFont="0" applyFill="0" applyBorder="0" applyAlignment="0" applyProtection="0"/>
    <xf numFmtId="218" fontId="37" fillId="0" borderId="0" applyFont="0" applyFill="0" applyBorder="0" applyAlignment="0" applyProtection="0"/>
    <xf numFmtId="218" fontId="37" fillId="0" borderId="0" applyFont="0" applyFill="0" applyBorder="0" applyAlignment="0" applyProtection="0"/>
    <xf numFmtId="188" fontId="37" fillId="0" borderId="0" applyFont="0" applyFill="0" applyBorder="0" applyAlignment="0" applyProtection="0"/>
    <xf numFmtId="221" fontId="37" fillId="0" borderId="0" applyFont="0" applyFill="0" applyBorder="0" applyAlignment="0" applyProtection="0"/>
    <xf numFmtId="169" fontId="37" fillId="0" borderId="0" applyFont="0" applyFill="0" applyBorder="0" applyAlignment="0" applyProtection="0"/>
    <xf numFmtId="216" fontId="37" fillId="0" borderId="0" applyFont="0" applyFill="0" applyBorder="0" applyAlignment="0" applyProtection="0"/>
    <xf numFmtId="222" fontId="22" fillId="0" borderId="0" applyFont="0" applyFill="0" applyBorder="0" applyAlignment="0" applyProtection="0"/>
    <xf numFmtId="188" fontId="37" fillId="0" borderId="0" applyFont="0" applyFill="0" applyBorder="0" applyAlignment="0" applyProtection="0"/>
    <xf numFmtId="216" fontId="37" fillId="0" borderId="0" applyFont="0" applyFill="0" applyBorder="0" applyAlignment="0" applyProtection="0"/>
    <xf numFmtId="41" fontId="23"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188" fontId="37" fillId="0" borderId="0" applyFont="0" applyFill="0" applyBorder="0" applyAlignment="0" applyProtection="0"/>
    <xf numFmtId="216" fontId="37" fillId="0" borderId="0" applyFont="0" applyFill="0" applyBorder="0" applyAlignment="0" applyProtection="0"/>
    <xf numFmtId="188" fontId="37" fillId="0" borderId="0" applyFont="0" applyFill="0" applyBorder="0" applyAlignment="0" applyProtection="0"/>
    <xf numFmtId="180" fontId="41" fillId="0" borderId="0" applyFont="0" applyFill="0" applyBorder="0" applyAlignment="0" applyProtection="0"/>
    <xf numFmtId="223" fontId="37" fillId="0" borderId="0" applyFont="0" applyFill="0" applyBorder="0" applyAlignment="0" applyProtection="0"/>
    <xf numFmtId="223" fontId="37" fillId="0" borderId="0" applyFont="0" applyFill="0" applyBorder="0" applyAlignment="0" applyProtection="0"/>
    <xf numFmtId="224" fontId="13" fillId="0" borderId="0" applyFont="0" applyFill="0" applyBorder="0" applyAlignment="0" applyProtection="0"/>
    <xf numFmtId="192" fontId="41" fillId="0" borderId="0" applyFont="0" applyFill="0" applyBorder="0" applyAlignment="0" applyProtection="0"/>
    <xf numFmtId="41" fontId="23" fillId="0" borderId="0" applyFont="0" applyFill="0" applyBorder="0" applyAlignment="0" applyProtection="0"/>
    <xf numFmtId="223" fontId="37" fillId="0" borderId="0" applyFont="0" applyFill="0" applyBorder="0" applyAlignment="0" applyProtection="0"/>
    <xf numFmtId="180" fontId="41" fillId="0" borderId="0" applyFont="0" applyFill="0" applyBorder="0" applyAlignment="0" applyProtection="0"/>
    <xf numFmtId="225" fontId="42" fillId="0" borderId="0" applyFont="0" applyFill="0" applyBorder="0" applyAlignment="0" applyProtection="0"/>
    <xf numFmtId="216"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169" fontId="37" fillId="0" borderId="0" applyFont="0" applyFill="0" applyBorder="0" applyAlignment="0" applyProtection="0"/>
    <xf numFmtId="216" fontId="37" fillId="0" borderId="0" applyFont="0" applyFill="0" applyBorder="0" applyAlignment="0" applyProtection="0"/>
    <xf numFmtId="41" fontId="23" fillId="0" borderId="0" applyFont="0" applyFill="0" applyBorder="0" applyAlignment="0" applyProtection="0"/>
    <xf numFmtId="184" fontId="37" fillId="0" borderId="0" applyFont="0" applyFill="0" applyBorder="0" applyAlignment="0" applyProtection="0"/>
    <xf numFmtId="189" fontId="22" fillId="0" borderId="0" applyFont="0" applyFill="0" applyBorder="0" applyAlignment="0" applyProtection="0"/>
    <xf numFmtId="190" fontId="37" fillId="0" borderId="0" applyFont="0" applyFill="0" applyBorder="0" applyAlignment="0" applyProtection="0"/>
    <xf numFmtId="191" fontId="37" fillId="0" borderId="0" applyFont="0" applyFill="0" applyBorder="0" applyAlignment="0" applyProtection="0"/>
    <xf numFmtId="190" fontId="37"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65" fontId="37" fillId="0" borderId="0" applyFont="0" applyFill="0" applyBorder="0" applyAlignment="0" applyProtection="0"/>
    <xf numFmtId="174" fontId="22" fillId="0" borderId="0" applyFont="0" applyFill="0" applyBorder="0" applyAlignment="0" applyProtection="0"/>
    <xf numFmtId="165" fontId="37" fillId="0" borderId="0" applyFont="0" applyFill="0" applyBorder="0" applyAlignment="0" applyProtection="0"/>
    <xf numFmtId="190" fontId="37" fillId="0" borderId="0" applyFont="0" applyFill="0" applyBorder="0" applyAlignment="0" applyProtection="0"/>
    <xf numFmtId="173" fontId="28"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1" fontId="37" fillId="0" borderId="0" applyFont="0" applyFill="0" applyBorder="0" applyAlignment="0" applyProtection="0"/>
    <xf numFmtId="189" fontId="22" fillId="0" borderId="0" applyFont="0" applyFill="0" applyBorder="0" applyAlignment="0" applyProtection="0"/>
    <xf numFmtId="208" fontId="41" fillId="0" borderId="0" applyFont="0" applyFill="0" applyBorder="0" applyAlignment="0" applyProtection="0"/>
    <xf numFmtId="209" fontId="37" fillId="0" borderId="0" applyFont="0" applyFill="0" applyBorder="0" applyAlignment="0" applyProtection="0"/>
    <xf numFmtId="209" fontId="37" fillId="0" borderId="0" applyFont="0" applyFill="0" applyBorder="0" applyAlignment="0" applyProtection="0"/>
    <xf numFmtId="210" fontId="41" fillId="0" borderId="0" applyFont="0" applyFill="0" applyBorder="0" applyAlignment="0" applyProtection="0"/>
    <xf numFmtId="209" fontId="37" fillId="0" borderId="0" applyFont="0" applyFill="0" applyBorder="0" applyAlignment="0" applyProtection="0"/>
    <xf numFmtId="208" fontId="41" fillId="0" borderId="0" applyFont="0" applyFill="0" applyBorder="0" applyAlignment="0" applyProtection="0"/>
    <xf numFmtId="209" fontId="37" fillId="0" borderId="0" applyFont="0" applyFill="0" applyBorder="0" applyAlignment="0" applyProtection="0"/>
    <xf numFmtId="173" fontId="28"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210" fontId="41" fillId="0" borderId="0" applyFont="0" applyFill="0" applyBorder="0" applyAlignment="0" applyProtection="0"/>
    <xf numFmtId="211" fontId="37" fillId="0" borderId="0" applyFont="0" applyFill="0" applyBorder="0" applyAlignment="0" applyProtection="0"/>
    <xf numFmtId="211" fontId="37" fillId="0" borderId="0" applyFont="0" applyFill="0" applyBorder="0" applyAlignment="0" applyProtection="0"/>
    <xf numFmtId="212" fontId="13" fillId="0" borderId="0" applyFont="0" applyFill="0" applyBorder="0" applyAlignment="0" applyProtection="0"/>
    <xf numFmtId="41" fontId="41" fillId="0" borderId="0" applyFont="0" applyFill="0" applyBorder="0" applyAlignment="0" applyProtection="0"/>
    <xf numFmtId="211" fontId="37" fillId="0" borderId="0" applyFont="0" applyFill="0" applyBorder="0" applyAlignment="0" applyProtection="0"/>
    <xf numFmtId="210" fontId="41" fillId="0" borderId="0" applyFont="0" applyFill="0" applyBorder="0" applyAlignment="0" applyProtection="0"/>
    <xf numFmtId="213" fontId="42" fillId="0" borderId="0" applyFont="0" applyFill="0" applyBorder="0" applyAlignment="0" applyProtection="0"/>
    <xf numFmtId="169" fontId="37" fillId="0" borderId="0" applyFont="0" applyFill="0" applyBorder="0" applyAlignment="0" applyProtection="0"/>
    <xf numFmtId="214" fontId="37" fillId="0" borderId="0" applyFont="0" applyFill="0" applyBorder="0" applyAlignment="0" applyProtection="0"/>
    <xf numFmtId="165" fontId="37" fillId="0" borderId="0" applyFont="0" applyFill="0" applyBorder="0" applyAlignment="0" applyProtection="0"/>
    <xf numFmtId="0" fontId="27" fillId="0" borderId="0"/>
    <xf numFmtId="280" fontId="42"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88" fontId="37" fillId="0" borderId="0" applyFont="0" applyFill="0" applyBorder="0" applyAlignment="0" applyProtection="0"/>
    <xf numFmtId="173" fontId="28"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5" fontId="37" fillId="0" borderId="0" applyFont="0" applyFill="0" applyBorder="0" applyAlignment="0" applyProtection="0"/>
    <xf numFmtId="209" fontId="37" fillId="0" borderId="0" applyFont="0" applyFill="0" applyBorder="0" applyAlignment="0" applyProtection="0"/>
    <xf numFmtId="189" fontId="22" fillId="0" borderId="0" applyFont="0" applyFill="0" applyBorder="0" applyAlignment="0" applyProtection="0"/>
    <xf numFmtId="189" fontId="37" fillId="0" borderId="0" applyFont="0" applyFill="0" applyBorder="0" applyAlignment="0" applyProtection="0"/>
    <xf numFmtId="0" fontId="27" fillId="0" borderId="0"/>
    <xf numFmtId="280" fontId="42"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88" fontId="37"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218" fontId="37" fillId="0" borderId="0" applyFont="0" applyFill="0" applyBorder="0" applyAlignment="0" applyProtection="0"/>
    <xf numFmtId="188" fontId="37" fillId="0" borderId="0" applyFont="0" applyFill="0" applyBorder="0" applyAlignment="0" applyProtection="0"/>
    <xf numFmtId="221" fontId="37" fillId="0" borderId="0" applyFont="0" applyFill="0" applyBorder="0" applyAlignment="0" applyProtection="0"/>
    <xf numFmtId="169" fontId="37" fillId="0" borderId="0" applyFont="0" applyFill="0" applyBorder="0" applyAlignment="0" applyProtection="0"/>
    <xf numFmtId="216" fontId="37" fillId="0" borderId="0" applyFont="0" applyFill="0" applyBorder="0" applyAlignment="0" applyProtection="0"/>
    <xf numFmtId="169" fontId="37" fillId="0" borderId="0" applyFont="0" applyFill="0" applyBorder="0" applyAlignment="0" applyProtection="0"/>
    <xf numFmtId="222" fontId="22" fillId="0" borderId="0" applyFont="0" applyFill="0" applyBorder="0" applyAlignment="0" applyProtection="0"/>
    <xf numFmtId="188" fontId="37"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188" fontId="37" fillId="0" borderId="0" applyFont="0" applyFill="0" applyBorder="0" applyAlignment="0" applyProtection="0"/>
    <xf numFmtId="216" fontId="37" fillId="0" borderId="0" applyFont="0" applyFill="0" applyBorder="0" applyAlignment="0" applyProtection="0"/>
    <xf numFmtId="188" fontId="37" fillId="0" borderId="0" applyFont="0" applyFill="0" applyBorder="0" applyAlignment="0" applyProtection="0"/>
    <xf numFmtId="180" fontId="41" fillId="0" borderId="0" applyFont="0" applyFill="0" applyBorder="0" applyAlignment="0" applyProtection="0"/>
    <xf numFmtId="223" fontId="37" fillId="0" borderId="0" applyFont="0" applyFill="0" applyBorder="0" applyAlignment="0" applyProtection="0"/>
    <xf numFmtId="188" fontId="37" fillId="0" borderId="0" applyFont="0" applyFill="0" applyBorder="0" applyAlignment="0" applyProtection="0"/>
    <xf numFmtId="223" fontId="37" fillId="0" borderId="0" applyFont="0" applyFill="0" applyBorder="0" applyAlignment="0" applyProtection="0"/>
    <xf numFmtId="224" fontId="13" fillId="0" borderId="0" applyFont="0" applyFill="0" applyBorder="0" applyAlignment="0" applyProtection="0"/>
    <xf numFmtId="192" fontId="41" fillId="0" borderId="0" applyFont="0" applyFill="0" applyBorder="0" applyAlignment="0" applyProtection="0"/>
    <xf numFmtId="223" fontId="37" fillId="0" borderId="0" applyFont="0" applyFill="0" applyBorder="0" applyAlignment="0" applyProtection="0"/>
    <xf numFmtId="180" fontId="41" fillId="0" borderId="0" applyFont="0" applyFill="0" applyBorder="0" applyAlignment="0" applyProtection="0"/>
    <xf numFmtId="225" fontId="42" fillId="0" borderId="0" applyFont="0" applyFill="0" applyBorder="0" applyAlignment="0" applyProtection="0"/>
    <xf numFmtId="216"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216" fontId="37" fillId="0" borderId="0" applyFont="0" applyFill="0" applyBorder="0" applyAlignment="0" applyProtection="0"/>
    <xf numFmtId="169" fontId="37" fillId="0" borderId="0" applyFont="0" applyFill="0" applyBorder="0" applyAlignment="0" applyProtection="0"/>
    <xf numFmtId="216" fontId="37" fillId="0" borderId="0" applyFont="0" applyFill="0" applyBorder="0" applyAlignment="0" applyProtection="0"/>
    <xf numFmtId="169" fontId="37" fillId="0" borderId="0" applyFont="0" applyFill="0" applyBorder="0" applyAlignment="0" applyProtection="0"/>
    <xf numFmtId="216" fontId="37" fillId="0" borderId="0" applyFont="0" applyFill="0" applyBorder="0" applyAlignment="0" applyProtection="0"/>
    <xf numFmtId="173" fontId="28"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88"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215" fontId="37" fillId="0" borderId="0" applyFont="0" applyFill="0" applyBorder="0" applyAlignment="0" applyProtection="0"/>
    <xf numFmtId="216" fontId="37" fillId="0" borderId="0" applyFont="0" applyFill="0" applyBorder="0" applyAlignment="0" applyProtection="0"/>
    <xf numFmtId="188" fontId="37" fillId="0" borderId="0" applyFont="0" applyFill="0" applyBorder="0" applyAlignment="0" applyProtection="0"/>
    <xf numFmtId="216"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88" fontId="37" fillId="0" borderId="0" applyFont="0" applyFill="0" applyBorder="0" applyAlignment="0" applyProtection="0"/>
    <xf numFmtId="215" fontId="37" fillId="0" borderId="0" applyFont="0" applyFill="0" applyBorder="0" applyAlignment="0" applyProtection="0"/>
    <xf numFmtId="217" fontId="37" fillId="0" borderId="0" applyFont="0" applyFill="0" applyBorder="0" applyAlignment="0" applyProtection="0"/>
    <xf numFmtId="169" fontId="37" fillId="0" borderId="0" applyFont="0" applyFill="0" applyBorder="0" applyAlignment="0" applyProtection="0"/>
    <xf numFmtId="188" fontId="22" fillId="0" borderId="0" applyFont="0" applyFill="0" applyBorder="0" applyAlignment="0" applyProtection="0"/>
    <xf numFmtId="169" fontId="37" fillId="0" borderId="0" applyFont="0" applyFill="0" applyBorder="0" applyAlignment="0" applyProtection="0"/>
    <xf numFmtId="188" fontId="22"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215" fontId="37" fillId="0" borderId="0" applyFont="0" applyFill="0" applyBorder="0" applyAlignment="0" applyProtection="0"/>
    <xf numFmtId="218" fontId="37" fillId="0" borderId="0" applyFont="0" applyFill="0" applyBorder="0" applyAlignment="0" applyProtection="0"/>
    <xf numFmtId="216" fontId="37" fillId="0" borderId="0" applyFont="0" applyFill="0" applyBorder="0" applyAlignment="0" applyProtection="0"/>
    <xf numFmtId="219" fontId="37" fillId="0" borderId="0" applyFont="0" applyFill="0" applyBorder="0" applyAlignment="0" applyProtection="0"/>
    <xf numFmtId="220" fontId="37" fillId="0" borderId="0" applyFont="0" applyFill="0" applyBorder="0" applyAlignment="0" applyProtection="0"/>
    <xf numFmtId="169" fontId="37" fillId="0" borderId="0" applyFont="0" applyFill="0" applyBorder="0" applyAlignment="0" applyProtection="0"/>
    <xf numFmtId="219" fontId="37" fillId="0" borderId="0" applyFont="0" applyFill="0" applyBorder="0" applyAlignment="0" applyProtection="0"/>
    <xf numFmtId="215"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69" fontId="37" fillId="0" borderId="0" applyFont="0" applyFill="0" applyBorder="0" applyAlignment="0" applyProtection="0"/>
    <xf numFmtId="216" fontId="37" fillId="0" borderId="0" applyFont="0" applyFill="0" applyBorder="0" applyAlignment="0" applyProtection="0"/>
    <xf numFmtId="169" fontId="37" fillId="0" borderId="0" applyFont="0" applyFill="0" applyBorder="0" applyAlignment="0" applyProtection="0"/>
    <xf numFmtId="188" fontId="37"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14" fontId="179" fillId="0" borderId="0"/>
    <xf numFmtId="14" fontId="179" fillId="0" borderId="0"/>
    <xf numFmtId="0" fontId="180" fillId="0" borderId="0"/>
    <xf numFmtId="0" fontId="141" fillId="0" borderId="0"/>
    <xf numFmtId="40" fontId="181" fillId="0" borderId="0" applyBorder="0">
      <alignment horizontal="right"/>
    </xf>
    <xf numFmtId="0" fontId="182" fillId="0" borderId="0"/>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184" fontId="183" fillId="0" borderId="14">
      <alignment horizontal="right" vertical="center"/>
    </xf>
    <xf numFmtId="184" fontId="183" fillId="0" borderId="14">
      <alignment horizontal="right" vertical="center"/>
    </xf>
    <xf numFmtId="204" fontId="64" fillId="0" borderId="14">
      <alignment horizontal="right" vertical="center"/>
    </xf>
    <xf numFmtId="204" fontId="64"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2" fontId="42" fillId="0" borderId="47">
      <alignment horizontal="right" vertical="center"/>
    </xf>
    <xf numFmtId="282" fontId="42" fillId="0" borderId="47">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81" fontId="42" fillId="0" borderId="14">
      <alignment horizontal="right" vertical="center"/>
    </xf>
    <xf numFmtId="281" fontId="42" fillId="0" borderId="14">
      <alignment horizontal="right" vertical="center"/>
    </xf>
    <xf numFmtId="282" fontId="42" fillId="0" borderId="47">
      <alignment horizontal="right" vertical="center"/>
    </xf>
    <xf numFmtId="282" fontId="42" fillId="0" borderId="47">
      <alignment horizontal="right" vertical="center"/>
    </xf>
    <xf numFmtId="185" fontId="27" fillId="0" borderId="14">
      <alignment horizontal="right" vertical="center"/>
    </xf>
    <xf numFmtId="185" fontId="27"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185" fontId="27" fillId="0" borderId="14">
      <alignment horizontal="right" vertical="center"/>
    </xf>
    <xf numFmtId="185" fontId="27" fillId="0" borderId="14">
      <alignment horizontal="right" vertical="center"/>
    </xf>
    <xf numFmtId="206" fontId="23" fillId="0" borderId="14">
      <alignment horizontal="right" vertical="center"/>
    </xf>
    <xf numFmtId="206" fontId="23" fillId="0" borderId="14">
      <alignment horizontal="right" vertical="center"/>
    </xf>
    <xf numFmtId="283" fontId="23" fillId="0" borderId="14">
      <alignment horizontal="right" vertical="center"/>
    </xf>
    <xf numFmtId="283" fontId="23" fillId="0" borderId="14">
      <alignment horizontal="right" vertical="center"/>
    </xf>
    <xf numFmtId="284" fontId="37" fillId="0" borderId="14">
      <alignment horizontal="right" vertical="center"/>
    </xf>
    <xf numFmtId="284" fontId="37" fillId="0" borderId="14">
      <alignment horizontal="right" vertical="center"/>
    </xf>
    <xf numFmtId="285" fontId="23" fillId="0" borderId="14">
      <alignment horizontal="right" vertical="center"/>
    </xf>
    <xf numFmtId="285" fontId="23" fillId="0" borderId="14">
      <alignment horizontal="right" vertical="center"/>
    </xf>
    <xf numFmtId="285" fontId="23" fillId="0" borderId="14">
      <alignment horizontal="right" vertical="center"/>
    </xf>
    <xf numFmtId="285" fontId="23" fillId="0" borderId="14">
      <alignment horizontal="right" vertical="center"/>
    </xf>
    <xf numFmtId="283" fontId="23" fillId="0" borderId="14">
      <alignment horizontal="right" vertical="center"/>
    </xf>
    <xf numFmtId="283" fontId="23" fillId="0" borderId="14">
      <alignment horizontal="right" vertical="center"/>
    </xf>
    <xf numFmtId="185" fontId="27" fillId="0" borderId="14">
      <alignment horizontal="right" vertical="center"/>
    </xf>
    <xf numFmtId="185" fontId="27" fillId="0" borderId="14">
      <alignment horizontal="right" vertical="center"/>
    </xf>
    <xf numFmtId="206" fontId="23" fillId="0" borderId="14">
      <alignment horizontal="right" vertical="center"/>
    </xf>
    <xf numFmtId="206" fontId="23" fillId="0" borderId="14">
      <alignment horizontal="right" vertical="center"/>
    </xf>
    <xf numFmtId="185" fontId="27" fillId="0" borderId="14">
      <alignment horizontal="right" vertical="center"/>
    </xf>
    <xf numFmtId="185" fontId="27"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86" fontId="22" fillId="0" borderId="14">
      <alignment horizontal="right" vertical="center"/>
    </xf>
    <xf numFmtId="286" fontId="22" fillId="0" borderId="14">
      <alignment horizontal="right" vertical="center"/>
    </xf>
    <xf numFmtId="185" fontId="27" fillId="0" borderId="14">
      <alignment horizontal="right" vertical="center"/>
    </xf>
    <xf numFmtId="185" fontId="27" fillId="0" borderId="14">
      <alignment horizontal="right" vertical="center"/>
    </xf>
    <xf numFmtId="282" fontId="42" fillId="0" borderId="47">
      <alignment horizontal="right" vertical="center"/>
    </xf>
    <xf numFmtId="282" fontId="42" fillId="0" borderId="47">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2" fontId="42" fillId="0" borderId="47">
      <alignment horizontal="right" vertical="center"/>
    </xf>
    <xf numFmtId="282" fontId="42" fillId="0" borderId="47">
      <alignment horizontal="right" vertical="center"/>
    </xf>
    <xf numFmtId="283" fontId="23" fillId="0" borderId="14">
      <alignment horizontal="right" vertical="center"/>
    </xf>
    <xf numFmtId="283" fontId="23" fillId="0" borderId="14">
      <alignment horizontal="right" vertical="center"/>
    </xf>
    <xf numFmtId="284" fontId="37" fillId="0" borderId="14">
      <alignment horizontal="right" vertical="center"/>
    </xf>
    <xf numFmtId="284" fontId="37" fillId="0" borderId="14">
      <alignment horizontal="right" vertical="center"/>
    </xf>
    <xf numFmtId="283" fontId="23" fillId="0" borderId="14">
      <alignment horizontal="right" vertical="center"/>
    </xf>
    <xf numFmtId="283" fontId="23" fillId="0" borderId="14">
      <alignment horizontal="right" vertical="center"/>
    </xf>
    <xf numFmtId="285" fontId="23" fillId="0" borderId="14">
      <alignment horizontal="right" vertical="center"/>
    </xf>
    <xf numFmtId="285" fontId="23"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3" fontId="23" fillId="0" borderId="14">
      <alignment horizontal="right" vertical="center"/>
    </xf>
    <xf numFmtId="283" fontId="23" fillId="0" borderId="14">
      <alignment horizontal="right" vertical="center"/>
    </xf>
    <xf numFmtId="287" fontId="184" fillId="2" borderId="48" applyFont="0" applyFill="0" applyBorder="0"/>
    <xf numFmtId="283" fontId="23" fillId="0" borderId="14">
      <alignment horizontal="right" vertical="center"/>
    </xf>
    <xf numFmtId="283" fontId="23" fillId="0" borderId="14">
      <alignment horizontal="right" vertical="center"/>
    </xf>
    <xf numFmtId="282" fontId="42" fillId="0" borderId="47">
      <alignment horizontal="right" vertical="center"/>
    </xf>
    <xf numFmtId="282" fontId="42" fillId="0" borderId="47">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22" fontId="42" fillId="0" borderId="14">
      <alignment horizontal="right" vertical="center"/>
    </xf>
    <xf numFmtId="222" fontId="42" fillId="0" borderId="14">
      <alignment horizontal="right" vertical="center"/>
    </xf>
    <xf numFmtId="287" fontId="184" fillId="2" borderId="48" applyFont="0" applyFill="0" applyBorder="0"/>
    <xf numFmtId="288" fontId="13" fillId="0" borderId="14">
      <alignment horizontal="right" vertical="center"/>
    </xf>
    <xf numFmtId="288" fontId="13"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22" fontId="42" fillId="0" borderId="14">
      <alignment horizontal="right" vertical="center"/>
    </xf>
    <xf numFmtId="222" fontId="42" fillId="0" borderId="14">
      <alignment horizontal="right" vertical="center"/>
    </xf>
    <xf numFmtId="206" fontId="23" fillId="0" borderId="14">
      <alignment horizontal="right" vertical="center"/>
    </xf>
    <xf numFmtId="206" fontId="23" fillId="0" borderId="14">
      <alignment horizontal="right" vertical="center"/>
    </xf>
    <xf numFmtId="282" fontId="42" fillId="0" borderId="47">
      <alignment horizontal="right" vertical="center"/>
    </xf>
    <xf numFmtId="282" fontId="42" fillId="0" borderId="47">
      <alignment horizontal="right" vertical="center"/>
    </xf>
    <xf numFmtId="283" fontId="23" fillId="0" borderId="14">
      <alignment horizontal="right" vertical="center"/>
    </xf>
    <xf numFmtId="283" fontId="23" fillId="0" borderId="14">
      <alignment horizontal="right" vertical="center"/>
    </xf>
    <xf numFmtId="284" fontId="37" fillId="0" borderId="14">
      <alignment horizontal="right" vertical="center"/>
    </xf>
    <xf numFmtId="284" fontId="37" fillId="0" borderId="14">
      <alignment horizontal="right" vertical="center"/>
    </xf>
    <xf numFmtId="283" fontId="23" fillId="0" borderId="14">
      <alignment horizontal="right" vertical="center"/>
    </xf>
    <xf numFmtId="283" fontId="23" fillId="0" borderId="14">
      <alignment horizontal="right" vertical="center"/>
    </xf>
    <xf numFmtId="281" fontId="42" fillId="0" borderId="14">
      <alignment horizontal="right" vertical="center"/>
    </xf>
    <xf numFmtId="281" fontId="42" fillId="0" borderId="14">
      <alignment horizontal="right" vertical="center"/>
    </xf>
    <xf numFmtId="206" fontId="23" fillId="0" borderId="14">
      <alignment horizontal="right" vertical="center"/>
    </xf>
    <xf numFmtId="206" fontId="23" fillId="0" borderId="14">
      <alignment horizontal="right" vertical="center"/>
    </xf>
    <xf numFmtId="206" fontId="23" fillId="0" borderId="14">
      <alignment horizontal="right" vertical="center"/>
    </xf>
    <xf numFmtId="206" fontId="23" fillId="0" borderId="14">
      <alignment horizontal="right" vertical="center"/>
    </xf>
    <xf numFmtId="289" fontId="22" fillId="0" borderId="14">
      <alignment horizontal="right" vertical="center"/>
    </xf>
    <xf numFmtId="289" fontId="22" fillId="0" borderId="14">
      <alignment horizontal="right" vertical="center"/>
    </xf>
    <xf numFmtId="282" fontId="42" fillId="0" borderId="47">
      <alignment horizontal="right" vertical="center"/>
    </xf>
    <xf numFmtId="282" fontId="42" fillId="0" borderId="47">
      <alignment horizontal="right" vertical="center"/>
    </xf>
    <xf numFmtId="290" fontId="23" fillId="0" borderId="14">
      <alignment horizontal="right" vertical="center"/>
    </xf>
    <xf numFmtId="290" fontId="23"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83" fontId="23" fillId="0" borderId="14">
      <alignment horizontal="right" vertical="center"/>
    </xf>
    <xf numFmtId="283" fontId="23" fillId="0" borderId="14">
      <alignment horizontal="right" vertical="center"/>
    </xf>
    <xf numFmtId="285" fontId="23" fillId="0" borderId="14">
      <alignment horizontal="right" vertical="center"/>
    </xf>
    <xf numFmtId="285" fontId="23" fillId="0" borderId="14">
      <alignment horizontal="right" vertical="center"/>
    </xf>
    <xf numFmtId="208" fontId="23" fillId="0" borderId="14">
      <alignment horizontal="right" vertical="center"/>
    </xf>
    <xf numFmtId="208" fontId="23"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87" fontId="184" fillId="2" borderId="48" applyFont="0" applyFill="0" applyBorder="0"/>
    <xf numFmtId="283" fontId="23" fillId="0" borderId="14">
      <alignment horizontal="right" vertical="center"/>
    </xf>
    <xf numFmtId="283" fontId="23"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3" fontId="23" fillId="0" borderId="14">
      <alignment horizontal="right" vertical="center"/>
    </xf>
    <xf numFmtId="283" fontId="23"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91" fontId="64" fillId="0" borderId="14">
      <alignment horizontal="right" vertical="center"/>
    </xf>
    <xf numFmtId="291" fontId="64" fillId="0" borderId="14">
      <alignment horizontal="right" vertical="center"/>
    </xf>
    <xf numFmtId="283" fontId="23" fillId="0" borderId="14">
      <alignment horizontal="right" vertical="center"/>
    </xf>
    <xf numFmtId="283" fontId="23" fillId="0" borderId="14">
      <alignment horizontal="right" vertical="center"/>
    </xf>
    <xf numFmtId="287" fontId="184" fillId="2" borderId="48" applyFont="0" applyFill="0" applyBorder="0"/>
    <xf numFmtId="287" fontId="184" fillId="2" borderId="48" applyFont="0" applyFill="0" applyBorder="0"/>
    <xf numFmtId="207" fontId="42" fillId="0" borderId="14">
      <alignment horizontal="right" vertical="center"/>
    </xf>
    <xf numFmtId="207" fontId="42" fillId="0" borderId="14">
      <alignment horizontal="right" vertical="center"/>
    </xf>
    <xf numFmtId="185" fontId="27" fillId="0" borderId="14">
      <alignment horizontal="right" vertical="center"/>
    </xf>
    <xf numFmtId="185" fontId="27" fillId="0" borderId="14">
      <alignment horizontal="right" vertical="center"/>
    </xf>
    <xf numFmtId="204" fontId="64" fillId="0" borderId="14">
      <alignment horizontal="right" vertical="center"/>
    </xf>
    <xf numFmtId="204" fontId="64" fillId="0" borderId="14">
      <alignment horizontal="right" vertical="center"/>
    </xf>
    <xf numFmtId="283" fontId="23" fillId="0" borderId="14">
      <alignment horizontal="right" vertical="center"/>
    </xf>
    <xf numFmtId="283" fontId="23"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04" fontId="64" fillId="0" borderId="14">
      <alignment horizontal="right" vertical="center"/>
    </xf>
    <xf numFmtId="281" fontId="42" fillId="0" borderId="14">
      <alignment horizontal="right" vertical="center"/>
    </xf>
    <xf numFmtId="281" fontId="42" fillId="0" borderId="14">
      <alignment horizontal="right" vertical="center"/>
    </xf>
    <xf numFmtId="287" fontId="184" fillId="2" borderId="48" applyFont="0" applyFill="0" applyBorder="0"/>
    <xf numFmtId="271" fontId="23" fillId="0" borderId="14">
      <alignment horizontal="right" vertical="center"/>
    </xf>
    <xf numFmtId="271" fontId="23" fillId="0" borderId="14">
      <alignment horizontal="right" vertical="center"/>
    </xf>
    <xf numFmtId="271" fontId="23" fillId="0" borderId="14">
      <alignment horizontal="right" vertical="center"/>
    </xf>
    <xf numFmtId="271" fontId="23" fillId="0" borderId="14">
      <alignment horizontal="right" vertical="center"/>
    </xf>
    <xf numFmtId="271" fontId="23" fillId="0" borderId="14">
      <alignment horizontal="right" vertical="center"/>
    </xf>
    <xf numFmtId="271" fontId="23" fillId="0" borderId="14">
      <alignment horizontal="right" vertical="center"/>
    </xf>
    <xf numFmtId="271" fontId="23" fillId="0" borderId="14">
      <alignment horizontal="right" vertical="center"/>
    </xf>
    <xf numFmtId="271" fontId="23" fillId="0" borderId="14">
      <alignment horizontal="right" vertical="center"/>
    </xf>
    <xf numFmtId="281" fontId="42" fillId="0" borderId="14">
      <alignment horizontal="right" vertical="center"/>
    </xf>
    <xf numFmtId="281" fontId="42" fillId="0" borderId="14">
      <alignment horizontal="right" vertical="center"/>
    </xf>
    <xf numFmtId="271" fontId="23" fillId="0" borderId="14">
      <alignment horizontal="right" vertical="center"/>
    </xf>
    <xf numFmtId="271" fontId="23" fillId="0" borderId="14">
      <alignment horizontal="right" vertical="center"/>
    </xf>
    <xf numFmtId="292" fontId="23" fillId="0" borderId="47">
      <alignment horizontal="right" vertical="center"/>
    </xf>
    <xf numFmtId="292" fontId="23" fillId="0" borderId="47">
      <alignment horizontal="right" vertical="center"/>
    </xf>
    <xf numFmtId="292" fontId="23" fillId="0" borderId="47">
      <alignment horizontal="right" vertical="center"/>
    </xf>
    <xf numFmtId="292" fontId="23" fillId="0" borderId="47">
      <alignment horizontal="right" vertical="center"/>
    </xf>
    <xf numFmtId="292" fontId="23" fillId="0" borderId="47">
      <alignment horizontal="right" vertical="center"/>
    </xf>
    <xf numFmtId="292" fontId="23" fillId="0" borderId="47">
      <alignment horizontal="right" vertical="center"/>
    </xf>
    <xf numFmtId="292" fontId="23" fillId="0" borderId="47">
      <alignment horizontal="right" vertical="center"/>
    </xf>
    <xf numFmtId="292" fontId="23" fillId="0" borderId="47">
      <alignment horizontal="right" vertical="center"/>
    </xf>
    <xf numFmtId="292" fontId="23" fillId="0" borderId="47">
      <alignment horizontal="right" vertical="center"/>
    </xf>
    <xf numFmtId="292" fontId="23" fillId="0" borderId="47">
      <alignment horizontal="right" vertical="center"/>
    </xf>
    <xf numFmtId="184" fontId="183" fillId="0" borderId="14">
      <alignment horizontal="right" vertical="center"/>
    </xf>
    <xf numFmtId="184" fontId="183" fillId="0" borderId="14">
      <alignment horizontal="right" vertical="center"/>
    </xf>
    <xf numFmtId="281" fontId="42" fillId="0" borderId="14">
      <alignment horizontal="right" vertical="center"/>
    </xf>
    <xf numFmtId="281" fontId="42" fillId="0" borderId="14">
      <alignment horizontal="right" vertical="center"/>
    </xf>
    <xf numFmtId="208" fontId="23" fillId="0" borderId="14">
      <alignment horizontal="right" vertical="center"/>
    </xf>
    <xf numFmtId="208" fontId="23" fillId="0" borderId="14">
      <alignment horizontal="right" vertical="center"/>
    </xf>
    <xf numFmtId="185" fontId="27" fillId="0" borderId="14">
      <alignment horizontal="right" vertical="center"/>
    </xf>
    <xf numFmtId="185" fontId="27"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281" fontId="42" fillId="0" borderId="14">
      <alignment horizontal="right" vertical="center"/>
    </xf>
    <xf numFmtId="185" fontId="27" fillId="0" borderId="14">
      <alignment horizontal="right" vertical="center"/>
    </xf>
    <xf numFmtId="185" fontId="27" fillId="0" borderId="14">
      <alignment horizontal="right" vertical="center"/>
    </xf>
    <xf numFmtId="281" fontId="42" fillId="0" borderId="14">
      <alignment horizontal="right" vertical="center"/>
    </xf>
    <xf numFmtId="281" fontId="42" fillId="0" borderId="14">
      <alignment horizontal="right" vertical="center"/>
    </xf>
    <xf numFmtId="283" fontId="23" fillId="0" borderId="14">
      <alignment horizontal="right" vertical="center"/>
    </xf>
    <xf numFmtId="283" fontId="23" fillId="0" borderId="14">
      <alignment horizontal="right" vertical="center"/>
    </xf>
    <xf numFmtId="281" fontId="42" fillId="0" borderId="14">
      <alignment horizontal="right" vertical="center"/>
    </xf>
    <xf numFmtId="281" fontId="42" fillId="0" borderId="14">
      <alignment horizontal="right" vertical="center"/>
    </xf>
    <xf numFmtId="282" fontId="42" fillId="0" borderId="47">
      <alignment horizontal="right" vertical="center"/>
    </xf>
    <xf numFmtId="282" fontId="42" fillId="0" borderId="47">
      <alignment horizontal="right" vertical="center"/>
    </xf>
    <xf numFmtId="282" fontId="42" fillId="0" borderId="47">
      <alignment horizontal="right" vertical="center"/>
    </xf>
    <xf numFmtId="282" fontId="42" fillId="0" borderId="47">
      <alignment horizontal="right" vertical="center"/>
    </xf>
    <xf numFmtId="282" fontId="42" fillId="0" borderId="47">
      <alignment horizontal="right" vertical="center"/>
    </xf>
    <xf numFmtId="282" fontId="42" fillId="0" borderId="47">
      <alignment horizontal="right" vertical="center"/>
    </xf>
    <xf numFmtId="282" fontId="42" fillId="0" borderId="47">
      <alignment horizontal="right" vertical="center"/>
    </xf>
    <xf numFmtId="282" fontId="42" fillId="0" borderId="47">
      <alignment horizontal="right" vertical="center"/>
    </xf>
    <xf numFmtId="282" fontId="42" fillId="0" borderId="47">
      <alignment horizontal="right" vertical="center"/>
    </xf>
    <xf numFmtId="282" fontId="42" fillId="0" borderId="47">
      <alignment horizontal="right" vertical="center"/>
    </xf>
    <xf numFmtId="281" fontId="42" fillId="0" borderId="14">
      <alignment horizontal="right" vertical="center"/>
    </xf>
    <xf numFmtId="281" fontId="42" fillId="0" borderId="14">
      <alignment horizontal="right" vertical="center"/>
    </xf>
    <xf numFmtId="207" fontId="42" fillId="0" borderId="14">
      <alignment horizontal="right" vertical="center"/>
    </xf>
    <xf numFmtId="207" fontId="42" fillId="0" borderId="14">
      <alignment horizontal="right" vertical="center"/>
    </xf>
    <xf numFmtId="293" fontId="185" fillId="0" borderId="14">
      <alignment horizontal="right" vertical="center"/>
    </xf>
    <xf numFmtId="293" fontId="185" fillId="0" borderId="14">
      <alignment horizontal="right" vertical="center"/>
    </xf>
    <xf numFmtId="49" fontId="26" fillId="0" borderId="0" applyFill="0" applyBorder="0" applyProtection="0">
      <alignment horizontal="center" vertical="center" wrapText="1" shrinkToFit="1"/>
    </xf>
    <xf numFmtId="49" fontId="39" fillId="0" borderId="0" applyFill="0" applyBorder="0" applyAlignment="0"/>
    <xf numFmtId="294" fontId="13" fillId="0" borderId="0" applyFill="0" applyBorder="0" applyAlignment="0"/>
    <xf numFmtId="295" fontId="13" fillId="0" borderId="0" applyFill="0" applyBorder="0" applyAlignment="0"/>
    <xf numFmtId="49" fontId="26" fillId="0" borderId="0" applyFill="0" applyBorder="0" applyProtection="0">
      <alignment horizontal="center" vertical="center" wrapText="1" shrinkToFit="1"/>
    </xf>
    <xf numFmtId="189" fontId="42" fillId="0" borderId="14">
      <alignment horizontal="center"/>
    </xf>
    <xf numFmtId="189" fontId="42" fillId="0" borderId="14">
      <alignment horizontal="center"/>
    </xf>
    <xf numFmtId="296" fontId="186" fillId="0" borderId="0" applyNumberFormat="0" applyFont="0" applyFill="0" applyBorder="0" applyAlignment="0">
      <alignment horizontal="centerContinuous"/>
    </xf>
    <xf numFmtId="268" fontId="187" fillId="0" borderId="0">
      <alignment horizontal="center"/>
      <protection locked="0"/>
    </xf>
    <xf numFmtId="0" fontId="23" fillId="0" borderId="49"/>
    <xf numFmtId="0" fontId="4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1" fillId="0" borderId="0" applyNumberFormat="0" applyFill="0" applyBorder="0" applyAlignment="0" applyProtection="0"/>
    <xf numFmtId="0" fontId="28" fillId="0" borderId="13" applyNumberFormat="0" applyBorder="0" applyAlignment="0"/>
    <xf numFmtId="0" fontId="188" fillId="0" borderId="17" applyNumberFormat="0" applyBorder="0" applyAlignment="0">
      <alignment horizontal="center"/>
    </xf>
    <xf numFmtId="3" fontId="189" fillId="0" borderId="18" applyNumberFormat="0" applyBorder="0" applyAlignment="0"/>
    <xf numFmtId="0" fontId="190" fillId="0" borderId="13">
      <alignment horizontal="center" vertical="center" wrapText="1"/>
    </xf>
    <xf numFmtId="0" fontId="191" fillId="0" borderId="0" applyNumberFormat="0" applyFill="0" applyBorder="0" applyAlignment="0" applyProtection="0"/>
    <xf numFmtId="40" fontId="117" fillId="0" borderId="0"/>
    <xf numFmtId="0" fontId="77" fillId="41" borderId="25" applyNumberFormat="0" applyAlignment="0" applyProtection="0"/>
    <xf numFmtId="0" fontId="77" fillId="41" borderId="25" applyNumberFormat="0" applyAlignment="0" applyProtection="0"/>
    <xf numFmtId="3" fontId="192" fillId="0" borderId="0" applyNumberFormat="0" applyFill="0" applyBorder="0" applyAlignment="0" applyProtection="0">
      <alignment horizontal="center" wrapText="1"/>
    </xf>
    <xf numFmtId="0" fontId="193" fillId="0" borderId="3" applyBorder="0" applyAlignment="0">
      <alignment horizontal="center" vertical="center"/>
    </xf>
    <xf numFmtId="0" fontId="193" fillId="0" borderId="3" applyBorder="0" applyAlignment="0">
      <alignment horizontal="center" vertical="center"/>
    </xf>
    <xf numFmtId="0" fontId="194" fillId="0" borderId="0" applyNumberFormat="0" applyFill="0" applyBorder="0" applyAlignment="0" applyProtection="0">
      <alignment horizontal="centerContinuous"/>
    </xf>
    <xf numFmtId="0" fontId="118" fillId="0" borderId="50" applyNumberFormat="0" applyFill="0" applyBorder="0" applyAlignment="0" applyProtection="0">
      <alignment horizontal="center" vertical="center" wrapText="1"/>
    </xf>
    <xf numFmtId="0" fontId="191" fillId="0" borderId="0" applyNumberFormat="0" applyFill="0" applyBorder="0" applyAlignment="0" applyProtection="0"/>
    <xf numFmtId="0" fontId="191" fillId="0" borderId="0" applyNumberFormat="0" applyFill="0" applyBorder="0" applyAlignment="0" applyProtection="0"/>
    <xf numFmtId="0" fontId="195" fillId="0" borderId="51" applyNumberFormat="0" applyFill="0" applyAlignment="0" applyProtection="0"/>
    <xf numFmtId="0" fontId="195" fillId="0" borderId="51" applyNumberFormat="0" applyFill="0" applyAlignment="0" applyProtection="0"/>
    <xf numFmtId="0" fontId="196" fillId="0" borderId="52" applyNumberFormat="0" applyBorder="0" applyAlignment="0">
      <alignment vertical="center"/>
    </xf>
    <xf numFmtId="0" fontId="196" fillId="0" borderId="52" applyNumberFormat="0" applyBorder="0" applyAlignment="0">
      <alignment vertical="center"/>
    </xf>
    <xf numFmtId="0" fontId="116" fillId="9" borderId="0" applyNumberFormat="0" applyBorder="0" applyAlignment="0" applyProtection="0"/>
    <xf numFmtId="0" fontId="13" fillId="0" borderId="24" applyNumberFormat="0" applyFont="0" applyFill="0" applyAlignment="0" applyProtection="0"/>
    <xf numFmtId="0" fontId="195" fillId="0" borderId="51" applyNumberFormat="0" applyFill="0" applyAlignment="0" applyProtection="0"/>
    <xf numFmtId="0" fontId="195" fillId="0" borderId="51" applyNumberFormat="0" applyFill="0" applyAlignment="0" applyProtection="0"/>
    <xf numFmtId="0" fontId="13" fillId="0" borderId="53" applyNumberFormat="0" applyFill="0" applyAlignment="0" applyProtection="0"/>
    <xf numFmtId="0" fontId="142" fillId="0" borderId="54" applyNumberFormat="0" applyAlignment="0">
      <alignment horizontal="center"/>
    </xf>
    <xf numFmtId="0" fontId="144" fillId="49" borderId="0" applyNumberFormat="0" applyBorder="0" applyAlignment="0" applyProtection="0"/>
    <xf numFmtId="0" fontId="197" fillId="0" borderId="55">
      <alignment horizontal="center"/>
    </xf>
    <xf numFmtId="3" fontId="198" fillId="0" borderId="0" applyFill="0">
      <alignment vertical="center"/>
    </xf>
    <xf numFmtId="41" fontId="13" fillId="0" borderId="0" applyFont="0" applyFill="0" applyBorder="0" applyAlignment="0" applyProtection="0"/>
    <xf numFmtId="196" fontId="13" fillId="0" borderId="0" applyFont="0" applyFill="0" applyBorder="0" applyAlignment="0" applyProtection="0"/>
    <xf numFmtId="173" fontId="199" fillId="0" borderId="56" applyNumberFormat="0" applyFont="0" applyAlignment="0">
      <alignment horizontal="centerContinuous"/>
    </xf>
    <xf numFmtId="259" fontId="130" fillId="0" borderId="0" applyFont="0" applyFill="0" applyBorder="0" applyAlignment="0" applyProtection="0"/>
    <xf numFmtId="297" fontId="23" fillId="0" borderId="0" applyFont="0" applyFill="0" applyBorder="0" applyAlignment="0" applyProtection="0"/>
    <xf numFmtId="298" fontId="23" fillId="0" borderId="0" applyFont="0" applyFill="0" applyBorder="0" applyAlignment="0" applyProtection="0"/>
    <xf numFmtId="0" fontId="200" fillId="0" borderId="0" applyNumberFormat="0" applyFill="0" applyBorder="0" applyAlignment="0" applyProtection="0"/>
    <xf numFmtId="0" fontId="105" fillId="0" borderId="0" applyNumberFormat="0" applyFill="0" applyBorder="0" applyAlignment="0" applyProtection="0"/>
    <xf numFmtId="0" fontId="123" fillId="0" borderId="57">
      <alignment horizontal="center"/>
    </xf>
    <xf numFmtId="295" fontId="42" fillId="0" borderId="0"/>
    <xf numFmtId="207" fontId="42" fillId="0" borderId="1"/>
    <xf numFmtId="207" fontId="42" fillId="0" borderId="1"/>
    <xf numFmtId="0" fontId="201" fillId="0" borderId="0"/>
    <xf numFmtId="0" fontId="40" fillId="0" borderId="0"/>
    <xf numFmtId="0" fontId="40" fillId="0" borderId="0"/>
    <xf numFmtId="0" fontId="202" fillId="0" borderId="0"/>
    <xf numFmtId="3" fontId="42" fillId="0" borderId="0" applyNumberFormat="0" applyBorder="0" applyAlignment="0" applyProtection="0">
      <alignment horizontal="centerContinuous"/>
      <protection locked="0"/>
    </xf>
    <xf numFmtId="3" fontId="203" fillId="0" borderId="0">
      <protection locked="0"/>
    </xf>
    <xf numFmtId="0" fontId="40" fillId="0" borderId="0"/>
    <xf numFmtId="0" fontId="40" fillId="0" borderId="0"/>
    <xf numFmtId="0" fontId="204" fillId="0" borderId="58" applyFill="0" applyBorder="0" applyAlignment="0">
      <alignment horizontal="center"/>
    </xf>
    <xf numFmtId="222" fontId="205" fillId="67" borderId="3">
      <alignment vertical="top"/>
    </xf>
    <xf numFmtId="222" fontId="205" fillId="67" borderId="3">
      <alignment vertical="top"/>
    </xf>
    <xf numFmtId="0" fontId="206" fillId="68" borderId="1">
      <alignment horizontal="left" vertical="center"/>
    </xf>
    <xf numFmtId="0" fontId="206" fillId="68" borderId="1">
      <alignment horizontal="left" vertical="center"/>
    </xf>
    <xf numFmtId="204" fontId="207" fillId="51" borderId="3"/>
    <xf numFmtId="204" fontId="207" fillId="51" borderId="3"/>
    <xf numFmtId="222" fontId="127" fillId="0" borderId="3">
      <alignment horizontal="left" vertical="top"/>
    </xf>
    <xf numFmtId="222" fontId="127" fillId="0" borderId="3">
      <alignment horizontal="left" vertical="top"/>
    </xf>
    <xf numFmtId="0" fontId="208" fillId="69" borderId="0">
      <alignment horizontal="left" vertical="center"/>
    </xf>
    <xf numFmtId="222" fontId="27" fillId="0" borderId="4">
      <alignment horizontal="left" vertical="top"/>
    </xf>
    <xf numFmtId="0" fontId="209" fillId="0" borderId="4">
      <alignment horizontal="left" vertical="center"/>
    </xf>
    <xf numFmtId="0" fontId="13" fillId="0" borderId="0" applyFont="0" applyFill="0" applyBorder="0" applyAlignment="0" applyProtection="0"/>
    <xf numFmtId="0" fontId="13" fillId="0" borderId="0" applyFont="0" applyFill="0" applyBorder="0" applyAlignment="0" applyProtection="0"/>
    <xf numFmtId="299" fontId="13" fillId="0" borderId="0" applyFont="0" applyFill="0" applyBorder="0" applyAlignment="0" applyProtection="0"/>
    <xf numFmtId="300" fontId="13" fillId="0" borderId="0" applyFont="0" applyFill="0" applyBorder="0" applyAlignment="0" applyProtection="0"/>
    <xf numFmtId="165" fontId="100" fillId="0" borderId="0" applyFont="0" applyFill="0" applyBorder="0" applyAlignment="0" applyProtection="0"/>
    <xf numFmtId="167" fontId="100" fillId="0" borderId="0" applyFont="0" applyFill="0" applyBorder="0" applyAlignment="0" applyProtection="0"/>
    <xf numFmtId="0" fontId="210" fillId="0" borderId="0" applyNumberFormat="0" applyFill="0" applyBorder="0" applyAlignment="0" applyProtection="0"/>
    <xf numFmtId="0" fontId="200" fillId="0" borderId="0" applyNumberFormat="0" applyFill="0" applyBorder="0" applyAlignment="0" applyProtection="0"/>
    <xf numFmtId="0" fontId="211" fillId="0" borderId="0" applyNumberFormat="0" applyFont="0" applyFill="0" applyBorder="0" applyProtection="0">
      <alignment horizontal="center" vertical="center" wrapText="1"/>
    </xf>
    <xf numFmtId="0" fontId="13" fillId="0" borderId="0" applyFont="0" applyFill="0" applyBorder="0" applyAlignment="0" applyProtection="0"/>
    <xf numFmtId="0" fontId="13" fillId="0" borderId="0" applyFont="0" applyFill="0" applyBorder="0" applyAlignment="0" applyProtection="0"/>
    <xf numFmtId="0" fontId="70" fillId="7" borderId="0" applyNumberFormat="0" applyBorder="0" applyAlignment="0" applyProtection="0"/>
    <xf numFmtId="0" fontId="212" fillId="0" borderId="0" applyNumberFormat="0" applyFill="0" applyBorder="0" applyAlignment="0" applyProtection="0"/>
    <xf numFmtId="0" fontId="64" fillId="0" borderId="59" applyFont="0" applyBorder="0" applyAlignment="0">
      <alignment horizontal="center"/>
    </xf>
    <xf numFmtId="41" fontId="23" fillId="0" borderId="0" applyFont="0" applyFill="0" applyBorder="0" applyAlignment="0" applyProtection="0"/>
    <xf numFmtId="184" fontId="32" fillId="0" borderId="0" applyFont="0" applyFill="0" applyBorder="0" applyAlignment="0" applyProtection="0"/>
    <xf numFmtId="185" fontId="32" fillId="0" borderId="0" applyFont="0" applyFill="0" applyBorder="0" applyAlignment="0" applyProtection="0"/>
    <xf numFmtId="0" fontId="32" fillId="0" borderId="0"/>
    <xf numFmtId="0" fontId="213" fillId="0" borderId="0" applyFont="0" applyFill="0" applyBorder="0" applyAlignment="0" applyProtection="0"/>
    <xf numFmtId="0" fontId="213" fillId="0" borderId="0" applyFont="0" applyFill="0" applyBorder="0" applyAlignment="0" applyProtection="0"/>
    <xf numFmtId="0" fontId="87" fillId="0" borderId="0">
      <alignment vertical="center"/>
    </xf>
    <xf numFmtId="40" fontId="13" fillId="0" borderId="0" applyFill="0" applyBorder="0" applyAlignment="0" applyProtection="0"/>
    <xf numFmtId="38"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9" fontId="214" fillId="0" borderId="0" applyBorder="0" applyAlignment="0" applyProtection="0"/>
    <xf numFmtId="0" fontId="215" fillId="0" borderId="0"/>
    <xf numFmtId="0" fontId="216" fillId="0" borderId="21"/>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48" fillId="0" borderId="0" applyFont="0" applyFill="0" applyBorder="0" applyAlignment="0" applyProtection="0"/>
    <xf numFmtId="0" fontId="148" fillId="0" borderId="0" applyFont="0" applyFill="0" applyBorder="0" applyAlignment="0" applyProtection="0"/>
    <xf numFmtId="180" fontId="13" fillId="0" borderId="0" applyFont="0" applyFill="0" applyBorder="0" applyAlignment="0" applyProtection="0"/>
    <xf numFmtId="192" fontId="13" fillId="0" borderId="0" applyFont="0" applyFill="0" applyBorder="0" applyAlignment="0" applyProtection="0"/>
    <xf numFmtId="0" fontId="148" fillId="0" borderId="0"/>
    <xf numFmtId="0" fontId="217" fillId="0" borderId="0"/>
    <xf numFmtId="0" fontId="137" fillId="0" borderId="0"/>
    <xf numFmtId="41" fontId="152" fillId="0" borderId="0" applyFont="0" applyFill="0" applyBorder="0" applyAlignment="0" applyProtection="0"/>
    <xf numFmtId="43" fontId="152" fillId="0" borderId="0" applyFont="0" applyFill="0" applyBorder="0" applyAlignment="0" applyProtection="0"/>
    <xf numFmtId="301" fontId="40" fillId="0" borderId="0" applyFont="0" applyFill="0" applyBorder="0" applyAlignment="0" applyProtection="0"/>
    <xf numFmtId="279" fontId="40" fillId="0" borderId="0" applyFont="0" applyFill="0" applyBorder="0" applyAlignment="0" applyProtection="0"/>
    <xf numFmtId="0" fontId="13" fillId="0" borderId="0"/>
    <xf numFmtId="184" fontId="152" fillId="0" borderId="0" applyFont="0" applyFill="0" applyBorder="0" applyAlignment="0" applyProtection="0"/>
    <xf numFmtId="164" fontId="34" fillId="0" borderId="0" applyFont="0" applyFill="0" applyBorder="0" applyAlignment="0" applyProtection="0"/>
    <xf numFmtId="185" fontId="152" fillId="0" borderId="0" applyFont="0" applyFill="0" applyBorder="0" applyAlignment="0" applyProtection="0"/>
    <xf numFmtId="175" fontId="13" fillId="0" borderId="0" applyFont="0" applyFill="0" applyBorder="0" applyAlignment="0" applyProtection="0"/>
    <xf numFmtId="180" fontId="40"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0" fontId="12" fillId="0" borderId="0"/>
  </cellStyleXfs>
  <cellXfs count="603">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xf numFmtId="0" fontId="3" fillId="0" borderId="1" xfId="0" applyFont="1" applyBorder="1" applyAlignment="1">
      <alignment horizontal="center"/>
    </xf>
    <xf numFmtId="0" fontId="4" fillId="0" borderId="1" xfId="0" applyFont="1" applyBorder="1"/>
    <xf numFmtId="171" fontId="4" fillId="0" borderId="1" xfId="0" applyNumberFormat="1" applyFont="1" applyBorder="1"/>
    <xf numFmtId="2" fontId="4" fillId="0" borderId="1" xfId="0" applyNumberFormat="1" applyFont="1" applyBorder="1"/>
    <xf numFmtId="2" fontId="4" fillId="0" borderId="0" xfId="0" applyNumberFormat="1" applyFont="1" applyBorder="1"/>
    <xf numFmtId="2" fontId="4" fillId="0" borderId="0" xfId="0" applyNumberFormat="1" applyFont="1"/>
    <xf numFmtId="0" fontId="3" fillId="0" borderId="1" xfId="0" applyFont="1" applyFill="1" applyBorder="1" applyAlignment="1">
      <alignment horizontal="center" vertical="center" wrapText="1"/>
    </xf>
    <xf numFmtId="0" fontId="3" fillId="0" borderId="1" xfId="0" applyFont="1" applyBorder="1" applyAlignment="1">
      <alignment horizontal="center" wrapText="1"/>
    </xf>
    <xf numFmtId="4" fontId="4" fillId="0" borderId="1" xfId="0" applyNumberFormat="1" applyFont="1" applyBorder="1" applyAlignment="1">
      <alignment vertical="center"/>
    </xf>
    <xf numFmtId="177" fontId="14" fillId="0" borderId="13" xfId="5" applyNumberFormat="1" applyFont="1" applyFill="1" applyBorder="1" applyAlignment="1">
      <alignment horizontal="right" vertical="center"/>
    </xf>
    <xf numFmtId="3" fontId="20" fillId="0" borderId="13" xfId="5" applyNumberFormat="1" applyFont="1" applyFill="1" applyBorder="1" applyAlignment="1">
      <alignment horizontal="right" vertical="center"/>
    </xf>
    <xf numFmtId="3" fontId="6" fillId="0" borderId="61" xfId="0" applyNumberFormat="1" applyFont="1" applyFill="1" applyBorder="1" applyAlignment="1">
      <alignment horizontal="right" vertical="center" wrapText="1"/>
    </xf>
    <xf numFmtId="0" fontId="15" fillId="0" borderId="0" xfId="0" applyFont="1" applyFill="1" applyAlignment="1">
      <alignment horizontal="center" vertical="center"/>
    </xf>
    <xf numFmtId="0" fontId="20" fillId="0" borderId="0" xfId="0" applyFont="1" applyFill="1"/>
    <xf numFmtId="176" fontId="20" fillId="0" borderId="0" xfId="5" applyNumberFormat="1" applyFont="1" applyFill="1"/>
    <xf numFmtId="0" fontId="14" fillId="0" borderId="0" xfId="0" applyFont="1" applyFill="1" applyAlignment="1">
      <alignment horizontal="center" vertical="center"/>
    </xf>
    <xf numFmtId="176" fontId="20" fillId="0" borderId="0" xfId="0" applyNumberFormat="1" applyFont="1" applyFill="1"/>
    <xf numFmtId="166" fontId="20" fillId="0" borderId="0" xfId="0" applyNumberFormat="1" applyFont="1" applyFill="1"/>
    <xf numFmtId="0" fontId="14" fillId="0" borderId="0" xfId="6" applyFont="1" applyFill="1" applyAlignment="1">
      <alignment horizontal="center"/>
    </xf>
    <xf numFmtId="0" fontId="14" fillId="0" borderId="0" xfId="6" applyFont="1" applyFill="1" applyAlignment="1">
      <alignment wrapText="1"/>
    </xf>
    <xf numFmtId="0" fontId="14" fillId="0" borderId="0" xfId="6" applyFont="1" applyFill="1"/>
    <xf numFmtId="166" fontId="14" fillId="0" borderId="0" xfId="6" applyNumberFormat="1" applyFont="1" applyFill="1"/>
    <xf numFmtId="0" fontId="221" fillId="0" borderId="0" xfId="6" applyFont="1" applyFill="1" applyAlignment="1">
      <alignment horizontal="left" vertical="center"/>
    </xf>
    <xf numFmtId="0" fontId="14" fillId="0" borderId="0" xfId="6" applyFont="1" applyFill="1" applyBorder="1" applyAlignment="1">
      <alignment horizontal="center"/>
    </xf>
    <xf numFmtId="0" fontId="14" fillId="0" borderId="3" xfId="6" applyFont="1" applyFill="1" applyBorder="1" applyAlignment="1">
      <alignment horizontal="center"/>
    </xf>
    <xf numFmtId="0" fontId="14" fillId="0" borderId="1" xfId="4" applyFont="1" applyFill="1" applyBorder="1" applyAlignment="1">
      <alignment horizontal="center" vertical="center"/>
    </xf>
    <xf numFmtId="0" fontId="14" fillId="0" borderId="1" xfId="4" applyFont="1" applyFill="1" applyBorder="1" applyAlignment="1">
      <alignment horizontal="center" vertical="center" wrapText="1"/>
    </xf>
    <xf numFmtId="49" fontId="14" fillId="0" borderId="1" xfId="4" applyNumberFormat="1" applyFont="1" applyFill="1" applyBorder="1" applyAlignment="1">
      <alignment horizontal="center" vertical="center"/>
    </xf>
    <xf numFmtId="3" fontId="14" fillId="0" borderId="1" xfId="4" applyNumberFormat="1" applyFont="1" applyFill="1" applyBorder="1" applyAlignment="1">
      <alignment horizontal="center" vertical="center"/>
    </xf>
    <xf numFmtId="3" fontId="14" fillId="0" borderId="5" xfId="4" applyNumberFormat="1" applyFont="1" applyFill="1" applyBorder="1" applyAlignment="1">
      <alignment horizontal="center" vertical="center"/>
    </xf>
    <xf numFmtId="173" fontId="14" fillId="0" borderId="5" xfId="3" applyNumberFormat="1" applyFont="1" applyFill="1" applyBorder="1" applyAlignment="1">
      <alignment horizontal="center" vertical="center"/>
    </xf>
    <xf numFmtId="0" fontId="15" fillId="0" borderId="17" xfId="4" applyFont="1" applyFill="1" applyBorder="1" applyAlignment="1">
      <alignment horizontal="center" vertical="center"/>
    </xf>
    <xf numFmtId="0" fontId="15" fillId="0" borderId="17" xfId="4" applyFont="1" applyFill="1" applyBorder="1" applyAlignment="1">
      <alignment horizontal="center" vertical="center" wrapText="1"/>
    </xf>
    <xf numFmtId="49" fontId="15" fillId="0" borderId="17" xfId="4" applyNumberFormat="1" applyFont="1" applyFill="1" applyBorder="1" applyAlignment="1">
      <alignment horizontal="center" vertical="center"/>
    </xf>
    <xf numFmtId="173" fontId="15" fillId="0" borderId="17" xfId="4" applyNumberFormat="1" applyFont="1" applyFill="1" applyBorder="1" applyAlignment="1">
      <alignment horizontal="center" vertical="center"/>
    </xf>
    <xf numFmtId="166" fontId="15" fillId="0" borderId="3" xfId="4" applyNumberFormat="1" applyFont="1" applyFill="1" applyBorder="1" applyAlignment="1">
      <alignment horizontal="center" vertical="center"/>
    </xf>
    <xf numFmtId="166" fontId="15" fillId="0" borderId="17" xfId="4" applyNumberFormat="1" applyFont="1" applyFill="1" applyBorder="1" applyAlignment="1">
      <alignment horizontal="center" vertical="center"/>
    </xf>
    <xf numFmtId="0" fontId="15" fillId="0" borderId="13" xfId="4" applyFont="1" applyFill="1" applyBorder="1" applyAlignment="1">
      <alignment horizontal="center" vertical="center"/>
    </xf>
    <xf numFmtId="0" fontId="15" fillId="0" borderId="13" xfId="4" applyFont="1" applyFill="1" applyBorder="1" applyAlignment="1">
      <alignment horizontal="left" vertical="center" wrapText="1"/>
    </xf>
    <xf numFmtId="49" fontId="15" fillId="0" borderId="13" xfId="4" applyNumberFormat="1" applyFont="1" applyFill="1" applyBorder="1" applyAlignment="1">
      <alignment horizontal="center" vertical="center"/>
    </xf>
    <xf numFmtId="173" fontId="15" fillId="0" borderId="13" xfId="4" applyNumberFormat="1" applyFont="1" applyFill="1" applyBorder="1" applyAlignment="1">
      <alignment horizontal="center" vertical="center"/>
    </xf>
    <xf numFmtId="37" fontId="15" fillId="0" borderId="13" xfId="4" applyNumberFormat="1" applyFont="1" applyFill="1" applyBorder="1" applyAlignment="1">
      <alignment horizontal="center" vertical="center"/>
    </xf>
    <xf numFmtId="166" fontId="15" fillId="0" borderId="13" xfId="4" applyNumberFormat="1" applyFont="1" applyFill="1" applyBorder="1" applyAlignment="1">
      <alignment horizontal="center" vertical="center"/>
    </xf>
    <xf numFmtId="0" fontId="15" fillId="0" borderId="13" xfId="7" quotePrefix="1" applyFont="1" applyFill="1" applyBorder="1" applyAlignment="1">
      <alignment horizontal="center" vertical="center"/>
    </xf>
    <xf numFmtId="0" fontId="15" fillId="0" borderId="13" xfId="7" applyFont="1" applyFill="1" applyBorder="1" applyAlignment="1">
      <alignment horizontal="left" vertical="center"/>
    </xf>
    <xf numFmtId="3" fontId="15" fillId="0" borderId="13" xfId="7" applyNumberFormat="1" applyFont="1" applyFill="1" applyBorder="1" applyAlignment="1">
      <alignment vertical="center"/>
    </xf>
    <xf numFmtId="3" fontId="14" fillId="0" borderId="13" xfId="3" applyNumberFormat="1" applyFont="1" applyFill="1" applyBorder="1" applyAlignment="1">
      <alignment horizontal="center" vertical="center" wrapText="1"/>
    </xf>
    <xf numFmtId="173" fontId="14" fillId="0" borderId="13" xfId="3" applyNumberFormat="1" applyFont="1" applyFill="1" applyBorder="1" applyAlignment="1">
      <alignment vertical="center" wrapText="1"/>
    </xf>
    <xf numFmtId="3" fontId="14" fillId="0" borderId="13" xfId="7" applyNumberFormat="1" applyFont="1" applyFill="1" applyBorder="1" applyAlignment="1">
      <alignment vertical="center"/>
    </xf>
    <xf numFmtId="166" fontId="14" fillId="0" borderId="13" xfId="7" applyNumberFormat="1" applyFont="1" applyFill="1" applyBorder="1" applyAlignment="1">
      <alignment vertical="center"/>
    </xf>
    <xf numFmtId="166" fontId="15" fillId="0" borderId="13" xfId="7" applyNumberFormat="1" applyFont="1" applyFill="1" applyBorder="1" applyAlignment="1">
      <alignment vertical="center"/>
    </xf>
    <xf numFmtId="166" fontId="15" fillId="0" borderId="18" xfId="7" applyNumberFormat="1" applyFont="1" applyFill="1" applyBorder="1" applyAlignment="1">
      <alignment vertical="center"/>
    </xf>
    <xf numFmtId="0" fontId="117" fillId="0" borderId="0" xfId="0" applyFont="1" applyFill="1"/>
    <xf numFmtId="173" fontId="15" fillId="0" borderId="13" xfId="3" applyNumberFormat="1" applyFont="1" applyFill="1" applyBorder="1" applyAlignment="1">
      <alignment horizontal="center" vertical="center"/>
    </xf>
    <xf numFmtId="173" fontId="15" fillId="0" borderId="13" xfId="3" applyNumberFormat="1" applyFont="1" applyFill="1" applyBorder="1" applyAlignment="1">
      <alignment horizontal="left" vertical="center" wrapText="1"/>
    </xf>
    <xf numFmtId="49" fontId="15" fillId="0" borderId="13" xfId="3" applyNumberFormat="1" applyFont="1" applyFill="1" applyBorder="1" applyAlignment="1">
      <alignment horizontal="left" vertical="center"/>
    </xf>
    <xf numFmtId="173" fontId="15" fillId="0" borderId="13" xfId="3" applyNumberFormat="1" applyFont="1" applyFill="1" applyBorder="1" applyAlignment="1">
      <alignment vertical="center"/>
    </xf>
    <xf numFmtId="166" fontId="15" fillId="0" borderId="13" xfId="3" applyNumberFormat="1" applyFont="1" applyFill="1" applyBorder="1" applyAlignment="1">
      <alignment vertical="center"/>
    </xf>
    <xf numFmtId="175" fontId="14" fillId="0" borderId="13" xfId="3" quotePrefix="1" applyNumberFormat="1" applyFont="1" applyFill="1" applyBorder="1" applyAlignment="1">
      <alignment horizontal="center" vertical="center" wrapText="1"/>
    </xf>
    <xf numFmtId="173" fontId="14" fillId="0" borderId="13" xfId="3" applyNumberFormat="1" applyFont="1" applyFill="1" applyBorder="1" applyAlignment="1">
      <alignment horizontal="left" vertical="center" wrapText="1"/>
    </xf>
    <xf numFmtId="49" fontId="14" fillId="0" borderId="13" xfId="3" applyNumberFormat="1" applyFont="1" applyFill="1" applyBorder="1" applyAlignment="1">
      <alignment horizontal="center" vertical="center"/>
    </xf>
    <xf numFmtId="173" fontId="14" fillId="0" borderId="13" xfId="3" applyNumberFormat="1" applyFont="1" applyFill="1" applyBorder="1" applyAlignment="1">
      <alignment vertical="center"/>
    </xf>
    <xf numFmtId="166" fontId="14" fillId="0" borderId="13" xfId="3" applyNumberFormat="1" applyFont="1" applyFill="1" applyBorder="1" applyAlignment="1">
      <alignment vertical="center"/>
    </xf>
    <xf numFmtId="173" fontId="14" fillId="0" borderId="13" xfId="3" applyNumberFormat="1" applyFont="1" applyFill="1" applyBorder="1" applyAlignment="1">
      <alignment horizontal="center" vertical="center"/>
    </xf>
    <xf numFmtId="173" fontId="14" fillId="0" borderId="13" xfId="3" quotePrefix="1" applyNumberFormat="1" applyFont="1" applyFill="1" applyBorder="1" applyAlignment="1">
      <alignment horizontal="center" vertical="center"/>
    </xf>
    <xf numFmtId="0" fontId="14" fillId="0" borderId="13" xfId="4" applyFont="1" applyFill="1" applyBorder="1" applyAlignment="1">
      <alignment vertical="center" wrapText="1"/>
    </xf>
    <xf numFmtId="175" fontId="14" fillId="0" borderId="13" xfId="3" quotePrefix="1" applyNumberFormat="1" applyFont="1" applyFill="1" applyBorder="1" applyAlignment="1">
      <alignment horizontal="center" vertical="center"/>
    </xf>
    <xf numFmtId="49" fontId="14" fillId="0" borderId="13" xfId="3" applyNumberFormat="1" applyFont="1" applyFill="1" applyBorder="1" applyAlignment="1">
      <alignment vertical="center"/>
    </xf>
    <xf numFmtId="175" fontId="14" fillId="0" borderId="13" xfId="3" applyNumberFormat="1" applyFont="1" applyFill="1" applyBorder="1" applyAlignment="1">
      <alignment horizontal="center" vertical="center"/>
    </xf>
    <xf numFmtId="49" fontId="14" fillId="0" borderId="13" xfId="3" quotePrefix="1" applyNumberFormat="1" applyFont="1" applyFill="1" applyBorder="1" applyAlignment="1">
      <alignment horizontal="center" vertical="center"/>
    </xf>
    <xf numFmtId="174" fontId="14" fillId="0" borderId="13" xfId="3" applyNumberFormat="1" applyFont="1" applyFill="1" applyBorder="1" applyAlignment="1">
      <alignment vertical="center" wrapText="1"/>
    </xf>
    <xf numFmtId="0" fontId="14" fillId="0" borderId="13" xfId="3" quotePrefix="1" applyNumberFormat="1" applyFont="1" applyFill="1" applyBorder="1" applyAlignment="1">
      <alignment horizontal="center" vertical="center"/>
    </xf>
    <xf numFmtId="175" fontId="14" fillId="0" borderId="13" xfId="3" applyNumberFormat="1" applyFont="1" applyFill="1" applyBorder="1" applyAlignment="1">
      <alignment horizontal="left" vertical="center" wrapText="1"/>
    </xf>
    <xf numFmtId="0" fontId="14" fillId="0" borderId="13" xfId="4" quotePrefix="1" applyFont="1" applyFill="1" applyBorder="1" applyAlignment="1">
      <alignment horizontal="center" vertical="center"/>
    </xf>
    <xf numFmtId="175" fontId="15" fillId="0" borderId="13" xfId="3" applyNumberFormat="1" applyFont="1" applyFill="1" applyBorder="1" applyAlignment="1">
      <alignment horizontal="center" vertical="center"/>
    </xf>
    <xf numFmtId="49" fontId="15" fillId="0" borderId="13" xfId="3" applyNumberFormat="1" applyFont="1" applyFill="1" applyBorder="1" applyAlignment="1">
      <alignment horizontal="center" vertical="center"/>
    </xf>
    <xf numFmtId="0" fontId="15" fillId="0" borderId="0" xfId="6" applyFont="1" applyFill="1"/>
    <xf numFmtId="0" fontId="15" fillId="0" borderId="13" xfId="4" applyFont="1" applyFill="1" applyBorder="1" applyAlignment="1">
      <alignment vertical="center" wrapText="1"/>
    </xf>
    <xf numFmtId="173" fontId="14" fillId="0" borderId="13" xfId="3" quotePrefix="1" applyNumberFormat="1" applyFont="1" applyFill="1" applyBorder="1" applyAlignment="1">
      <alignment vertical="center" wrapText="1"/>
    </xf>
    <xf numFmtId="49" fontId="15" fillId="0" borderId="13" xfId="3" quotePrefix="1" applyNumberFormat="1" applyFont="1" applyFill="1" applyBorder="1" applyAlignment="1">
      <alignment horizontal="center" vertical="center"/>
    </xf>
    <xf numFmtId="173" fontId="15" fillId="0" borderId="13" xfId="3" applyNumberFormat="1" applyFont="1" applyFill="1" applyBorder="1" applyAlignment="1">
      <alignment vertical="center" wrapText="1"/>
    </xf>
    <xf numFmtId="49" fontId="15" fillId="0" borderId="13" xfId="3" applyNumberFormat="1" applyFont="1" applyFill="1" applyBorder="1" applyAlignment="1">
      <alignment vertical="center"/>
    </xf>
    <xf numFmtId="178" fontId="14" fillId="0" borderId="13" xfId="3" quotePrefix="1" applyNumberFormat="1" applyFont="1" applyFill="1" applyBorder="1" applyAlignment="1">
      <alignment vertical="center" wrapText="1"/>
    </xf>
    <xf numFmtId="175" fontId="15" fillId="0" borderId="13" xfId="3" quotePrefix="1" applyNumberFormat="1" applyFont="1" applyFill="1" applyBorder="1" applyAlignment="1">
      <alignment horizontal="center" vertical="center"/>
    </xf>
    <xf numFmtId="173" fontId="15" fillId="0" borderId="13" xfId="3" quotePrefix="1" applyNumberFormat="1" applyFont="1" applyFill="1" applyBorder="1" applyAlignment="1">
      <alignment vertical="center" wrapText="1"/>
    </xf>
    <xf numFmtId="0" fontId="15" fillId="0" borderId="13" xfId="6" applyFont="1" applyFill="1" applyBorder="1" applyAlignment="1">
      <alignment vertical="center" wrapText="1"/>
    </xf>
    <xf numFmtId="0" fontId="15" fillId="0" borderId="13" xfId="6" applyFont="1" applyFill="1" applyBorder="1" applyAlignment="1">
      <alignment horizontal="center" vertical="center" wrapText="1"/>
    </xf>
    <xf numFmtId="0" fontId="14" fillId="0" borderId="13" xfId="7" quotePrefix="1" applyFont="1" applyFill="1" applyBorder="1" applyAlignment="1">
      <alignment horizontal="center" vertical="center"/>
    </xf>
    <xf numFmtId="0" fontId="14" fillId="0" borderId="13" xfId="8" applyFont="1" applyFill="1" applyBorder="1" applyAlignment="1">
      <alignment horizontal="left" vertical="center" wrapText="1"/>
    </xf>
    <xf numFmtId="0" fontId="14" fillId="0" borderId="13" xfId="8" applyFont="1" applyFill="1" applyBorder="1" applyAlignment="1">
      <alignment vertical="center" wrapText="1"/>
    </xf>
    <xf numFmtId="3" fontId="14" fillId="0" borderId="13" xfId="8" applyNumberFormat="1" applyFont="1" applyFill="1" applyBorder="1" applyAlignment="1">
      <alignment vertical="center"/>
    </xf>
    <xf numFmtId="0" fontId="15" fillId="0" borderId="13" xfId="8" applyFont="1" applyFill="1" applyBorder="1" applyAlignment="1">
      <alignment vertical="center" wrapText="1"/>
    </xf>
    <xf numFmtId="3" fontId="15" fillId="0" borderId="13" xfId="8" applyNumberFormat="1" applyFont="1" applyFill="1" applyBorder="1" applyAlignment="1">
      <alignment vertical="center"/>
    </xf>
    <xf numFmtId="0" fontId="14" fillId="0" borderId="13" xfId="0" applyFont="1" applyFill="1" applyBorder="1" applyAlignment="1">
      <alignment horizontal="center" vertical="center" wrapText="1"/>
    </xf>
    <xf numFmtId="0" fontId="14" fillId="0" borderId="13" xfId="0" applyFont="1" applyFill="1" applyBorder="1" applyAlignment="1">
      <alignment vertical="center" wrapText="1"/>
    </xf>
    <xf numFmtId="3" fontId="14" fillId="0" borderId="13" xfId="0" applyNumberFormat="1" applyFont="1" applyFill="1" applyBorder="1" applyAlignment="1">
      <alignment horizontal="right" vertical="center" wrapText="1"/>
    </xf>
    <xf numFmtId="166" fontId="14" fillId="0" borderId="13" xfId="0" applyNumberFormat="1" applyFont="1" applyFill="1" applyBorder="1"/>
    <xf numFmtId="166" fontId="15" fillId="0" borderId="19" xfId="4" applyNumberFormat="1" applyFont="1" applyFill="1" applyBorder="1" applyAlignment="1">
      <alignment horizontal="center" vertical="center"/>
    </xf>
    <xf numFmtId="166" fontId="14" fillId="0" borderId="19" xfId="0" applyNumberFormat="1" applyFont="1" applyFill="1" applyBorder="1"/>
    <xf numFmtId="179" fontId="15" fillId="0" borderId="13" xfId="9" applyNumberFormat="1" applyFont="1" applyFill="1" applyBorder="1" applyAlignment="1">
      <alignment vertical="center" wrapText="1"/>
    </xf>
    <xf numFmtId="166" fontId="15" fillId="0" borderId="18" xfId="4" applyNumberFormat="1" applyFont="1" applyFill="1" applyBorder="1" applyAlignment="1">
      <alignment horizontal="center" vertical="center"/>
    </xf>
    <xf numFmtId="166" fontId="15" fillId="0" borderId="18" xfId="3" applyNumberFormat="1" applyFont="1" applyFill="1" applyBorder="1" applyAlignment="1">
      <alignment vertical="center"/>
    </xf>
    <xf numFmtId="0" fontId="14" fillId="0" borderId="13" xfId="6" applyFont="1" applyFill="1" applyBorder="1" applyAlignment="1">
      <alignment horizontal="center" vertical="center" wrapText="1"/>
    </xf>
    <xf numFmtId="0" fontId="14" fillId="0" borderId="13" xfId="4" quotePrefix="1" applyFont="1" applyFill="1" applyBorder="1" applyAlignment="1">
      <alignment vertical="center" wrapText="1"/>
    </xf>
    <xf numFmtId="178" fontId="14" fillId="0" borderId="13" xfId="2" applyNumberFormat="1" applyFont="1" applyFill="1" applyBorder="1" applyAlignment="1" applyProtection="1">
      <alignment vertical="center" wrapText="1"/>
    </xf>
    <xf numFmtId="175" fontId="14" fillId="0" borderId="19" xfId="3" quotePrefix="1" applyNumberFormat="1" applyFont="1" applyFill="1" applyBorder="1" applyAlignment="1">
      <alignment horizontal="center" vertical="center"/>
    </xf>
    <xf numFmtId="0" fontId="14" fillId="0" borderId="19" xfId="4" applyFont="1" applyFill="1" applyBorder="1" applyAlignment="1">
      <alignment horizontal="left" vertical="center" wrapText="1"/>
    </xf>
    <xf numFmtId="49" fontId="14" fillId="0" borderId="19" xfId="3" applyNumberFormat="1" applyFont="1" applyFill="1" applyBorder="1" applyAlignment="1">
      <alignment horizontal="center" vertical="center"/>
    </xf>
    <xf numFmtId="173" fontId="14" fillId="0" borderId="19" xfId="3" quotePrefix="1" applyNumberFormat="1" applyFont="1" applyFill="1" applyBorder="1" applyAlignment="1">
      <alignment horizontal="center" vertical="center"/>
    </xf>
    <xf numFmtId="166" fontId="14" fillId="0" borderId="19" xfId="3" applyNumberFormat="1" applyFont="1" applyFill="1" applyBorder="1" applyAlignment="1">
      <alignment vertical="center"/>
    </xf>
    <xf numFmtId="0" fontId="225" fillId="0" borderId="0" xfId="0" applyFont="1" applyAlignment="1">
      <alignment vertical="center"/>
    </xf>
    <xf numFmtId="0" fontId="225" fillId="0" borderId="1" xfId="0" applyFont="1" applyBorder="1" applyAlignment="1">
      <alignment horizontal="center" vertical="center" wrapText="1"/>
    </xf>
    <xf numFmtId="0" fontId="225" fillId="0" borderId="0" xfId="0" applyFont="1" applyAlignment="1">
      <alignment horizontal="center" vertical="center" wrapText="1"/>
    </xf>
    <xf numFmtId="0" fontId="226" fillId="0" borderId="17" xfId="0" quotePrefix="1" applyFont="1" applyBorder="1" applyAlignment="1">
      <alignment horizontal="center" vertical="center"/>
    </xf>
    <xf numFmtId="0" fontId="226" fillId="0" borderId="17" xfId="0" applyFont="1" applyBorder="1" applyAlignment="1">
      <alignment vertical="center" wrapText="1"/>
    </xf>
    <xf numFmtId="0" fontId="226" fillId="0" borderId="17" xfId="0" applyFont="1" applyBorder="1" applyAlignment="1">
      <alignment vertical="center"/>
    </xf>
    <xf numFmtId="0" fontId="226" fillId="0" borderId="13" xfId="0" applyFont="1" applyBorder="1" applyAlignment="1">
      <alignment horizontal="center" vertical="center"/>
    </xf>
    <xf numFmtId="0" fontId="226" fillId="0" borderId="0" xfId="0" applyFont="1" applyAlignment="1">
      <alignment vertical="center"/>
    </xf>
    <xf numFmtId="0" fontId="226" fillId="0" borderId="13" xfId="0" applyFont="1" applyBorder="1" applyAlignment="1">
      <alignment vertical="center" wrapText="1"/>
    </xf>
    <xf numFmtId="0" fontId="226" fillId="0" borderId="13" xfId="0" applyFont="1" applyBorder="1" applyAlignment="1">
      <alignment vertical="center"/>
    </xf>
    <xf numFmtId="0" fontId="226" fillId="0" borderId="19" xfId="0" applyFont="1" applyBorder="1" applyAlignment="1">
      <alignment vertical="center"/>
    </xf>
    <xf numFmtId="0" fontId="230" fillId="0" borderId="0" xfId="0" applyFont="1"/>
    <xf numFmtId="0" fontId="231" fillId="0" borderId="0" xfId="0" applyFont="1"/>
    <xf numFmtId="0" fontId="226" fillId="0" borderId="60" xfId="0" applyFont="1" applyBorder="1" applyAlignment="1">
      <alignment horizontal="center" vertical="center"/>
    </xf>
    <xf numFmtId="0" fontId="226" fillId="0" borderId="60" xfId="0" applyFont="1" applyBorder="1" applyAlignment="1">
      <alignment vertical="center" wrapText="1"/>
    </xf>
    <xf numFmtId="0" fontId="234" fillId="0" borderId="0" xfId="0" applyFont="1" applyAlignment="1">
      <alignment vertical="center"/>
    </xf>
    <xf numFmtId="0" fontId="15" fillId="70" borderId="13" xfId="4" applyFont="1" applyFill="1" applyBorder="1" applyAlignment="1">
      <alignment horizontal="center" vertical="center"/>
    </xf>
    <xf numFmtId="0" fontId="15" fillId="70" borderId="13" xfId="4" applyFont="1" applyFill="1" applyBorder="1" applyAlignment="1">
      <alignment horizontal="left" vertical="center" wrapText="1"/>
    </xf>
    <xf numFmtId="49" fontId="15" fillId="70" borderId="13" xfId="4" applyNumberFormat="1" applyFont="1" applyFill="1" applyBorder="1" applyAlignment="1">
      <alignment horizontal="center" vertical="center"/>
    </xf>
    <xf numFmtId="173" fontId="15" fillId="70" borderId="13" xfId="4" applyNumberFormat="1" applyFont="1" applyFill="1" applyBorder="1" applyAlignment="1">
      <alignment horizontal="center" vertical="center"/>
    </xf>
    <xf numFmtId="37" fontId="15" fillId="70" borderId="13" xfId="4" applyNumberFormat="1" applyFont="1" applyFill="1" applyBorder="1" applyAlignment="1">
      <alignment horizontal="center" vertical="center"/>
    </xf>
    <xf numFmtId="166" fontId="15" fillId="70" borderId="13" xfId="4" applyNumberFormat="1" applyFont="1" applyFill="1" applyBorder="1" applyAlignment="1">
      <alignment horizontal="center" vertical="center"/>
    </xf>
    <xf numFmtId="0" fontId="15" fillId="70" borderId="13" xfId="7" quotePrefix="1" applyFont="1" applyFill="1" applyBorder="1" applyAlignment="1">
      <alignment horizontal="center" vertical="center"/>
    </xf>
    <xf numFmtId="0" fontId="15" fillId="70" borderId="13" xfId="7" applyFont="1" applyFill="1" applyBorder="1" applyAlignment="1">
      <alignment horizontal="left" vertical="center"/>
    </xf>
    <xf numFmtId="3" fontId="15" fillId="70" borderId="13" xfId="7" applyNumberFormat="1" applyFont="1" applyFill="1" applyBorder="1" applyAlignment="1">
      <alignment vertical="center"/>
    </xf>
    <xf numFmtId="177" fontId="15" fillId="70" borderId="13" xfId="5" applyNumberFormat="1" applyFont="1" applyFill="1" applyBorder="1" applyAlignment="1">
      <alignment horizontal="right" vertical="center"/>
    </xf>
    <xf numFmtId="3" fontId="14" fillId="70" borderId="13" xfId="3" applyNumberFormat="1" applyFont="1" applyFill="1" applyBorder="1" applyAlignment="1">
      <alignment horizontal="center" vertical="center" wrapText="1"/>
    </xf>
    <xf numFmtId="173" fontId="14" fillId="70" borderId="13" xfId="3" applyNumberFormat="1" applyFont="1" applyFill="1" applyBorder="1" applyAlignment="1">
      <alignment vertical="center" wrapText="1"/>
    </xf>
    <xf numFmtId="3" fontId="14" fillId="70" borderId="13" xfId="7" applyNumberFormat="1" applyFont="1" applyFill="1" applyBorder="1" applyAlignment="1">
      <alignment vertical="center"/>
    </xf>
    <xf numFmtId="177" fontId="14" fillId="70" borderId="13" xfId="5" applyNumberFormat="1" applyFont="1" applyFill="1" applyBorder="1" applyAlignment="1">
      <alignment horizontal="right" vertical="center"/>
    </xf>
    <xf numFmtId="166" fontId="14" fillId="70" borderId="13" xfId="7" applyNumberFormat="1" applyFont="1" applyFill="1" applyBorder="1" applyAlignment="1">
      <alignment vertical="center"/>
    </xf>
    <xf numFmtId="3" fontId="14" fillId="70" borderId="13" xfId="5" applyNumberFormat="1" applyFont="1" applyFill="1" applyBorder="1" applyAlignment="1">
      <alignment horizontal="right" vertical="center"/>
    </xf>
    <xf numFmtId="3" fontId="20" fillId="70" borderId="13" xfId="5" applyNumberFormat="1" applyFont="1" applyFill="1" applyBorder="1" applyAlignment="1">
      <alignment horizontal="right"/>
    </xf>
    <xf numFmtId="177" fontId="14" fillId="70" borderId="13" xfId="5" applyNumberFormat="1" applyFont="1" applyFill="1" applyBorder="1" applyAlignment="1">
      <alignment horizontal="right" vertical="center" wrapText="1"/>
    </xf>
    <xf numFmtId="3" fontId="21" fillId="70" borderId="13" xfId="5" applyNumberFormat="1" applyFont="1" applyFill="1" applyBorder="1" applyAlignment="1">
      <alignment horizontal="right"/>
    </xf>
    <xf numFmtId="3" fontId="14" fillId="70" borderId="13" xfId="3" quotePrefix="1" applyNumberFormat="1" applyFont="1" applyFill="1" applyBorder="1" applyAlignment="1">
      <alignment horizontal="center" vertical="center" wrapText="1"/>
    </xf>
    <xf numFmtId="3" fontId="20" fillId="70" borderId="13" xfId="5" applyNumberFormat="1" applyFont="1" applyFill="1" applyBorder="1" applyAlignment="1">
      <alignment horizontal="right" vertical="center"/>
    </xf>
    <xf numFmtId="173" fontId="87" fillId="0" borderId="0" xfId="1" applyNumberFormat="1" applyFont="1" applyFill="1"/>
    <xf numFmtId="173" fontId="236" fillId="0" borderId="17" xfId="1" applyNumberFormat="1" applyFont="1" applyFill="1" applyBorder="1" applyAlignment="1">
      <alignment horizontal="center" vertical="center" wrapText="1"/>
    </xf>
    <xf numFmtId="173" fontId="236" fillId="0" borderId="13" xfId="1" applyNumberFormat="1" applyFont="1" applyFill="1" applyBorder="1" applyAlignment="1">
      <alignment horizontal="center" vertical="center" wrapText="1"/>
    </xf>
    <xf numFmtId="173" fontId="236" fillId="0" borderId="13" xfId="1" applyNumberFormat="1" applyFont="1" applyFill="1" applyBorder="1" applyAlignment="1">
      <alignment vertical="center" wrapText="1"/>
    </xf>
    <xf numFmtId="175" fontId="87" fillId="0" borderId="13" xfId="3" quotePrefix="1" applyNumberFormat="1" applyFont="1" applyFill="1" applyBorder="1" applyAlignment="1">
      <alignment horizontal="center" vertical="center" wrapText="1"/>
    </xf>
    <xf numFmtId="173" fontId="87" fillId="0" borderId="13" xfId="3" applyNumberFormat="1" applyFont="1" applyFill="1" applyBorder="1" applyAlignment="1">
      <alignment horizontal="left" vertical="center" wrapText="1"/>
    </xf>
    <xf numFmtId="173" fontId="87" fillId="0" borderId="13" xfId="1" applyNumberFormat="1" applyFont="1" applyFill="1" applyBorder="1" applyAlignment="1">
      <alignment horizontal="center" vertical="center" wrapText="1"/>
    </xf>
    <xf numFmtId="173" fontId="87" fillId="0" borderId="13" xfId="1" applyNumberFormat="1" applyFont="1" applyFill="1" applyBorder="1" applyAlignment="1">
      <alignment vertical="center"/>
    </xf>
    <xf numFmtId="175" fontId="87" fillId="0" borderId="13" xfId="1" applyNumberFormat="1" applyFont="1" applyFill="1" applyBorder="1" applyAlignment="1">
      <alignment horizontal="center" vertical="center" wrapText="1"/>
    </xf>
    <xf numFmtId="173" fontId="87" fillId="0" borderId="13" xfId="3" quotePrefix="1" applyNumberFormat="1" applyFont="1" applyFill="1" applyBorder="1" applyAlignment="1">
      <alignment horizontal="center" vertical="center"/>
    </xf>
    <xf numFmtId="173" fontId="87" fillId="0" borderId="13" xfId="3" applyNumberFormat="1" applyFont="1" applyFill="1" applyBorder="1" applyAlignment="1">
      <alignment vertical="center" wrapText="1"/>
    </xf>
    <xf numFmtId="173" fontId="87" fillId="0" borderId="13" xfId="1" applyNumberFormat="1" applyFont="1" applyFill="1" applyBorder="1" applyAlignment="1">
      <alignment horizontal="right" vertical="center" wrapText="1"/>
    </xf>
    <xf numFmtId="3" fontId="87" fillId="0" borderId="13" xfId="1" applyNumberFormat="1" applyFont="1" applyFill="1" applyBorder="1" applyAlignment="1">
      <alignment horizontal="right" vertical="center" wrapText="1"/>
    </xf>
    <xf numFmtId="173" fontId="236" fillId="0" borderId="13" xfId="1" quotePrefix="1" applyNumberFormat="1" applyFont="1" applyFill="1" applyBorder="1" applyAlignment="1">
      <alignment horizontal="center" vertical="center" wrapText="1"/>
    </xf>
    <xf numFmtId="173" fontId="87" fillId="0" borderId="13" xfId="1" quotePrefix="1" applyNumberFormat="1" applyFont="1" applyFill="1" applyBorder="1" applyAlignment="1">
      <alignment horizontal="center" vertical="center" wrapText="1"/>
    </xf>
    <xf numFmtId="173" fontId="87" fillId="0" borderId="13" xfId="1" applyNumberFormat="1" applyFont="1" applyFill="1" applyBorder="1" applyAlignment="1">
      <alignment horizontal="left" vertical="center" wrapText="1"/>
    </xf>
    <xf numFmtId="173" fontId="236" fillId="0" borderId="13" xfId="1" applyNumberFormat="1" applyFont="1" applyFill="1" applyBorder="1" applyAlignment="1">
      <alignment horizontal="left" vertical="center" wrapText="1"/>
    </xf>
    <xf numFmtId="173" fontId="236" fillId="0" borderId="13" xfId="1" applyNumberFormat="1" applyFont="1" applyFill="1" applyBorder="1" applyAlignment="1">
      <alignment vertical="center"/>
    </xf>
    <xf numFmtId="173" fontId="236" fillId="0" borderId="60" xfId="1" applyNumberFormat="1" applyFont="1" applyFill="1" applyBorder="1" applyAlignment="1">
      <alignment horizontal="center" vertical="center" wrapText="1"/>
    </xf>
    <xf numFmtId="173" fontId="236" fillId="0" borderId="60" xfId="1" applyNumberFormat="1" applyFont="1" applyFill="1" applyBorder="1" applyAlignment="1">
      <alignment vertical="center"/>
    </xf>
    <xf numFmtId="173" fontId="236" fillId="0" borderId="19" xfId="1" applyNumberFormat="1" applyFont="1" applyFill="1" applyBorder="1" applyAlignment="1">
      <alignment horizontal="center" vertical="center" wrapText="1"/>
    </xf>
    <xf numFmtId="173" fontId="236" fillId="0" borderId="19" xfId="1" applyNumberFormat="1" applyFont="1" applyFill="1" applyBorder="1" applyAlignment="1">
      <alignment vertical="center"/>
    </xf>
    <xf numFmtId="3" fontId="14" fillId="0" borderId="13" xfId="1" applyNumberFormat="1" applyFont="1" applyFill="1" applyBorder="1" applyAlignment="1">
      <alignment horizontal="right" vertical="center" wrapText="1"/>
    </xf>
    <xf numFmtId="177" fontId="14" fillId="0" borderId="13" xfId="5" applyNumberFormat="1" applyFont="1" applyFill="1" applyBorder="1" applyAlignment="1">
      <alignment horizontal="right" vertical="center" wrapText="1"/>
    </xf>
    <xf numFmtId="3" fontId="14" fillId="0" borderId="13" xfId="5" applyNumberFormat="1" applyFont="1" applyFill="1" applyBorder="1" applyAlignment="1">
      <alignment horizontal="right" vertical="center" wrapText="1"/>
    </xf>
    <xf numFmtId="174" fontId="14" fillId="0" borderId="13" xfId="1" applyNumberFormat="1" applyFont="1" applyFill="1" applyBorder="1" applyAlignment="1">
      <alignment horizontal="right" vertical="center" wrapText="1"/>
    </xf>
    <xf numFmtId="174" fontId="14" fillId="0" borderId="13" xfId="1" applyNumberFormat="1" applyFont="1" applyFill="1" applyBorder="1" applyAlignment="1">
      <alignment horizontal="center" vertical="center" wrapText="1"/>
    </xf>
    <xf numFmtId="168" fontId="14" fillId="0" borderId="13" xfId="1" applyFont="1" applyFill="1" applyBorder="1" applyAlignment="1">
      <alignment horizontal="right" vertical="center" wrapText="1"/>
    </xf>
    <xf numFmtId="3" fontId="14" fillId="0" borderId="19" xfId="1" applyNumberFormat="1" applyFont="1" applyFill="1" applyBorder="1" applyAlignment="1">
      <alignment horizontal="right" vertical="center" wrapText="1"/>
    </xf>
    <xf numFmtId="176" fontId="7" fillId="0" borderId="19" xfId="5" applyNumberFormat="1" applyFont="1" applyFill="1" applyBorder="1" applyAlignment="1">
      <alignment horizontal="right" vertical="center" wrapText="1"/>
    </xf>
    <xf numFmtId="0" fontId="9" fillId="0" borderId="0" xfId="0" applyFont="1" applyFill="1"/>
    <xf numFmtId="0" fontId="235" fillId="0" borderId="0" xfId="0" applyFont="1" applyFill="1"/>
    <xf numFmtId="3" fontId="9" fillId="0" borderId="0" xfId="0" applyNumberFormat="1" applyFont="1" applyFill="1"/>
    <xf numFmtId="0" fontId="11" fillId="0" borderId="1" xfId="0" applyFont="1" applyFill="1" applyBorder="1" applyAlignment="1">
      <alignment horizontal="center" vertical="center" wrapText="1"/>
    </xf>
    <xf numFmtId="0" fontId="87" fillId="0" borderId="0" xfId="0" applyFont="1" applyFill="1"/>
    <xf numFmtId="173" fontId="87" fillId="0" borderId="0" xfId="0" applyNumberFormat="1" applyFont="1" applyFill="1"/>
    <xf numFmtId="0" fontId="220" fillId="0" borderId="0" xfId="0" applyFont="1" applyFill="1"/>
    <xf numFmtId="0" fontId="244" fillId="0" borderId="1" xfId="0" applyFont="1" applyFill="1" applyBorder="1" applyAlignment="1">
      <alignment horizontal="center" vertical="center" wrapText="1"/>
    </xf>
    <xf numFmtId="0" fontId="238" fillId="0"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87" fillId="0" borderId="13" xfId="4" applyFont="1" applyFill="1" applyBorder="1" applyAlignment="1">
      <alignment vertical="center" wrapText="1"/>
    </xf>
    <xf numFmtId="0" fontId="87" fillId="0" borderId="13" xfId="0" applyFont="1" applyFill="1" applyBorder="1" applyAlignment="1" applyProtection="1">
      <alignment horizontal="left" vertical="center" wrapText="1"/>
      <protection locked="0"/>
    </xf>
    <xf numFmtId="0" fontId="87" fillId="0" borderId="13" xfId="1004" applyFont="1" applyFill="1" applyBorder="1" applyAlignment="1">
      <alignment vertical="center" wrapText="1"/>
    </xf>
    <xf numFmtId="3" fontId="236" fillId="0" borderId="13" xfId="1004" applyNumberFormat="1" applyFont="1" applyFill="1" applyBorder="1" applyAlignment="1">
      <alignment horizontal="left" vertical="center" wrapText="1"/>
    </xf>
    <xf numFmtId="0" fontId="236" fillId="0" borderId="13" xfId="0" applyFont="1" applyFill="1" applyBorder="1" applyAlignment="1">
      <alignment horizontal="center" vertical="center" wrapText="1"/>
    </xf>
    <xf numFmtId="0" fontId="236" fillId="0" borderId="13" xfId="0" applyFont="1" applyFill="1" applyBorder="1" applyAlignment="1">
      <alignment vertical="center" wrapText="1"/>
    </xf>
    <xf numFmtId="0" fontId="236" fillId="0" borderId="60" xfId="0" applyFont="1" applyFill="1" applyBorder="1" applyAlignment="1">
      <alignment horizontal="center" vertical="center" wrapText="1"/>
    </xf>
    <xf numFmtId="0" fontId="236" fillId="0" borderId="60" xfId="0" applyFont="1" applyFill="1" applyBorder="1" applyAlignment="1">
      <alignment vertical="center" wrapText="1"/>
    </xf>
    <xf numFmtId="0" fontId="236" fillId="0" borderId="19" xfId="0" applyFont="1" applyFill="1" applyBorder="1" applyAlignment="1">
      <alignment horizontal="center" vertical="center" wrapText="1"/>
    </xf>
    <xf numFmtId="0" fontId="236" fillId="0" borderId="19" xfId="0" applyFont="1" applyFill="1" applyBorder="1" applyAlignment="1">
      <alignment vertical="center" wrapText="1"/>
    </xf>
    <xf numFmtId="173" fontId="236" fillId="0" borderId="0" xfId="0" applyNumberFormat="1" applyFont="1" applyFill="1"/>
    <xf numFmtId="0" fontId="6" fillId="0" borderId="17" xfId="0" applyFont="1" applyFill="1" applyBorder="1" applyAlignment="1">
      <alignment vertical="center" wrapText="1"/>
    </xf>
    <xf numFmtId="3" fontId="15" fillId="0" borderId="17" xfId="0" applyNumberFormat="1" applyFont="1" applyFill="1" applyBorder="1" applyAlignment="1">
      <alignment horizontal="right" vertical="center" wrapText="1"/>
    </xf>
    <xf numFmtId="9" fontId="237" fillId="0" borderId="17" xfId="0" applyNumberFormat="1" applyFont="1" applyFill="1" applyBorder="1" applyAlignment="1">
      <alignment horizontal="right"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vertical="center" wrapText="1"/>
    </xf>
    <xf numFmtId="3" fontId="7" fillId="0" borderId="13" xfId="0" applyNumberFormat="1" applyFont="1" applyFill="1" applyBorder="1" applyAlignment="1">
      <alignment horizontal="right" vertical="center" wrapText="1"/>
    </xf>
    <xf numFmtId="3" fontId="14" fillId="0" borderId="13" xfId="1" applyNumberFormat="1" applyFont="1" applyFill="1" applyBorder="1" applyAlignment="1">
      <alignment vertical="center" wrapText="1"/>
    </xf>
    <xf numFmtId="0" fontId="7" fillId="0" borderId="19" xfId="0" applyFont="1" applyFill="1" applyBorder="1" applyAlignment="1">
      <alignment horizontal="center" vertical="center" wrapText="1"/>
    </xf>
    <xf numFmtId="0" fontId="7" fillId="0" borderId="19" xfId="0" applyFont="1" applyFill="1" applyBorder="1" applyAlignment="1">
      <alignment vertical="center" wrapText="1"/>
    </xf>
    <xf numFmtId="3" fontId="14" fillId="0" borderId="19" xfId="0" applyNumberFormat="1" applyFont="1" applyFill="1" applyBorder="1" applyAlignment="1">
      <alignment horizontal="right" vertical="center" wrapText="1"/>
    </xf>
    <xf numFmtId="3" fontId="7" fillId="0" borderId="19" xfId="0" applyNumberFormat="1" applyFont="1" applyFill="1" applyBorder="1" applyAlignment="1">
      <alignment horizontal="right" vertical="center" wrapText="1"/>
    </xf>
    <xf numFmtId="0" fontId="233" fillId="0" borderId="0" xfId="1447" applyFont="1"/>
    <xf numFmtId="3" fontId="14" fillId="0" borderId="13" xfId="5" applyNumberFormat="1" applyFont="1" applyFill="1" applyBorder="1" applyAlignment="1">
      <alignment vertical="center" wrapText="1"/>
    </xf>
    <xf numFmtId="3" fontId="14" fillId="0" borderId="13" xfId="0" applyNumberFormat="1" applyFont="1" applyFill="1" applyBorder="1" applyAlignment="1">
      <alignment vertical="center" wrapText="1"/>
    </xf>
    <xf numFmtId="3" fontId="14" fillId="0" borderId="60" xfId="0" applyNumberFormat="1" applyFont="1" applyFill="1" applyBorder="1" applyAlignment="1">
      <alignment vertical="center" wrapText="1"/>
    </xf>
    <xf numFmtId="3" fontId="7" fillId="0" borderId="13" xfId="5" applyNumberFormat="1" applyFont="1" applyFill="1" applyBorder="1" applyAlignment="1">
      <alignment horizontal="right" vertical="center" wrapText="1"/>
    </xf>
    <xf numFmtId="3" fontId="7" fillId="0" borderId="13" xfId="0" applyNumberFormat="1" applyFont="1" applyFill="1" applyBorder="1" applyAlignment="1">
      <alignment vertical="center" wrapText="1"/>
    </xf>
    <xf numFmtId="3" fontId="7" fillId="0" borderId="60" xfId="0" applyNumberFormat="1" applyFont="1" applyFill="1" applyBorder="1" applyAlignment="1">
      <alignment vertical="center" wrapText="1"/>
    </xf>
    <xf numFmtId="3" fontId="7" fillId="0" borderId="61" xfId="0" applyNumberFormat="1" applyFont="1" applyFill="1" applyBorder="1" applyAlignment="1">
      <alignment vertical="center" wrapText="1"/>
    </xf>
    <xf numFmtId="9" fontId="7" fillId="0" borderId="61" xfId="2267" applyFont="1" applyFill="1" applyBorder="1" applyAlignment="1">
      <alignment horizontal="right" vertical="center" wrapText="1"/>
    </xf>
    <xf numFmtId="0" fontId="6" fillId="0" borderId="60" xfId="0" applyFont="1" applyFill="1" applyBorder="1" applyAlignment="1">
      <alignment vertical="center" wrapText="1"/>
    </xf>
    <xf numFmtId="176" fontId="15" fillId="0" borderId="61" xfId="5" applyNumberFormat="1" applyFont="1" applyFill="1" applyBorder="1" applyAlignment="1">
      <alignment horizontal="right" vertical="center" wrapText="1"/>
    </xf>
    <xf numFmtId="3" fontId="15" fillId="0" borderId="61" xfId="0" applyNumberFormat="1" applyFont="1" applyFill="1" applyBorder="1" applyAlignment="1">
      <alignment horizontal="right" vertical="center" wrapText="1"/>
    </xf>
    <xf numFmtId="9" fontId="6" fillId="0" borderId="61" xfId="2267" applyFont="1" applyFill="1" applyBorder="1" applyAlignment="1">
      <alignment horizontal="right" vertical="center" wrapText="1"/>
    </xf>
    <xf numFmtId="0" fontId="9" fillId="0" borderId="0" xfId="0" applyFont="1" applyFill="1" applyAlignment="1">
      <alignment vertical="center"/>
    </xf>
    <xf numFmtId="0" fontId="219" fillId="0" borderId="1" xfId="0" applyFont="1" applyFill="1" applyBorder="1" applyAlignment="1">
      <alignment horizontal="center" vertical="center" wrapText="1"/>
    </xf>
    <xf numFmtId="3" fontId="9" fillId="0" borderId="0" xfId="0" applyNumberFormat="1" applyFont="1" applyFill="1" applyAlignment="1">
      <alignment vertical="center"/>
    </xf>
    <xf numFmtId="0" fontId="220" fillId="0" borderId="0" xfId="0" applyFont="1" applyFill="1" applyAlignment="1">
      <alignment vertical="center"/>
    </xf>
    <xf numFmtId="3" fontId="87" fillId="0" borderId="13" xfId="1004" applyNumberFormat="1" applyFont="1" applyFill="1" applyBorder="1" applyAlignment="1">
      <alignment vertical="center" wrapText="1"/>
    </xf>
    <xf numFmtId="0" fontId="87" fillId="0" borderId="13" xfId="0" applyFont="1" applyFill="1" applyBorder="1" applyAlignment="1">
      <alignment horizontal="left" vertical="center" wrapText="1"/>
    </xf>
    <xf numFmtId="0" fontId="6" fillId="0" borderId="13" xfId="0" applyFont="1" applyFill="1" applyBorder="1" applyAlignment="1">
      <alignment vertical="center" wrapText="1"/>
    </xf>
    <xf numFmtId="3" fontId="15" fillId="0" borderId="13" xfId="0" applyNumberFormat="1" applyFont="1" applyFill="1" applyBorder="1" applyAlignment="1">
      <alignment vertical="center" wrapText="1"/>
    </xf>
    <xf numFmtId="3" fontId="14" fillId="0" borderId="19" xfId="0" applyNumberFormat="1" applyFont="1" applyFill="1" applyBorder="1" applyAlignment="1">
      <alignment vertical="center" wrapTex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21" fillId="0" borderId="0" xfId="0" applyFont="1" applyFill="1" applyAlignment="1">
      <alignment horizontal="center" vertical="center"/>
    </xf>
    <xf numFmtId="0" fontId="117" fillId="0" borderId="0" xfId="0" applyFont="1" applyFill="1" applyAlignment="1">
      <alignment vertical="center"/>
    </xf>
    <xf numFmtId="0" fontId="20" fillId="0" borderId="0" xfId="0" applyFont="1" applyFill="1" applyAlignment="1">
      <alignment vertical="center"/>
    </xf>
    <xf numFmtId="3" fontId="20" fillId="0" borderId="0" xfId="0" applyNumberFormat="1" applyFont="1" applyFill="1" applyAlignment="1">
      <alignment vertical="center"/>
    </xf>
    <xf numFmtId="0" fontId="14" fillId="0" borderId="1" xfId="0" applyFont="1" applyFill="1" applyBorder="1" applyAlignment="1">
      <alignment horizontal="center" vertical="center" wrapText="1"/>
    </xf>
    <xf numFmtId="0" fontId="247" fillId="0" borderId="0" xfId="0" applyFont="1" applyFill="1" applyAlignment="1">
      <alignment vertical="center"/>
    </xf>
    <xf numFmtId="3" fontId="223" fillId="0" borderId="13" xfId="0" applyNumberFormat="1" applyFont="1" applyFill="1" applyBorder="1" applyAlignment="1">
      <alignment horizontal="right" vertical="center" wrapText="1"/>
    </xf>
    <xf numFmtId="0" fontId="14" fillId="0" borderId="13" xfId="0" applyFont="1" applyFill="1" applyBorder="1" applyAlignment="1">
      <alignment horizontal="right" vertical="center" wrapText="1"/>
    </xf>
    <xf numFmtId="3" fontId="241" fillId="0" borderId="13" xfId="0" applyNumberFormat="1" applyFont="1" applyFill="1" applyBorder="1" applyAlignment="1">
      <alignment horizontal="right" vertical="center" wrapText="1"/>
    </xf>
    <xf numFmtId="1" fontId="14" fillId="0" borderId="13" xfId="0" applyNumberFormat="1" applyFont="1" applyFill="1" applyBorder="1" applyAlignment="1">
      <alignment horizontal="right" vertical="center" wrapText="1"/>
    </xf>
    <xf numFmtId="3" fontId="223" fillId="0" borderId="19" xfId="0" applyNumberFormat="1" applyFont="1" applyFill="1" applyBorder="1" applyAlignment="1">
      <alignment horizontal="right" vertical="center" wrapText="1"/>
    </xf>
    <xf numFmtId="176" fontId="7" fillId="0" borderId="19" xfId="0" applyNumberFormat="1" applyFont="1" applyFill="1" applyBorder="1" applyAlignment="1">
      <alignment horizontal="right" vertical="center" wrapText="1"/>
    </xf>
    <xf numFmtId="0" fontId="7" fillId="0" borderId="19" xfId="0" applyFont="1" applyFill="1" applyBorder="1" applyAlignment="1">
      <alignment horizontal="right" vertical="center" wrapText="1"/>
    </xf>
    <xf numFmtId="1" fontId="7" fillId="0" borderId="19" xfId="0" applyNumberFormat="1" applyFont="1" applyFill="1" applyBorder="1" applyAlignment="1">
      <alignment horizontal="right" vertical="center" wrapText="1"/>
    </xf>
    <xf numFmtId="0" fontId="14" fillId="0" borderId="19" xfId="0" applyFont="1" applyFill="1" applyBorder="1" applyAlignment="1">
      <alignment horizontal="right" vertical="center" wrapText="1"/>
    </xf>
    <xf numFmtId="0" fontId="9" fillId="0" borderId="0" xfId="0" applyFont="1" applyFill="1" applyAlignment="1">
      <alignment horizontal="center" vertical="center"/>
    </xf>
    <xf numFmtId="3" fontId="6" fillId="0" borderId="17" xfId="0" applyNumberFormat="1" applyFont="1" applyFill="1" applyBorder="1" applyAlignment="1">
      <alignment horizontal="right" vertical="center" wrapText="1"/>
    </xf>
    <xf numFmtId="213" fontId="15" fillId="0" borderId="17" xfId="0" applyNumberFormat="1" applyFont="1" applyFill="1" applyBorder="1" applyAlignment="1">
      <alignment horizontal="right" vertical="center" wrapText="1"/>
    </xf>
    <xf numFmtId="0" fontId="10" fillId="0" borderId="0" xfId="0" applyFont="1" applyFill="1" applyAlignment="1">
      <alignment vertical="center"/>
    </xf>
    <xf numFmtId="0" fontId="8" fillId="0" borderId="0" xfId="0" applyFont="1" applyFill="1" applyAlignment="1">
      <alignment vertical="center"/>
    </xf>
    <xf numFmtId="3" fontId="243" fillId="0" borderId="0" xfId="0" applyNumberFormat="1" applyFont="1" applyFill="1" applyAlignment="1">
      <alignment vertical="center"/>
    </xf>
    <xf numFmtId="213" fontId="9" fillId="0" borderId="0" xfId="0" applyNumberFormat="1" applyFont="1" applyFill="1" applyAlignment="1">
      <alignment vertical="center"/>
    </xf>
    <xf numFmtId="0" fontId="7" fillId="0" borderId="0" xfId="0" applyFont="1" applyFill="1" applyAlignment="1">
      <alignment vertical="center"/>
    </xf>
    <xf numFmtId="0" fontId="243" fillId="0" borderId="0" xfId="0" applyFont="1" applyFill="1"/>
    <xf numFmtId="0" fontId="7" fillId="0"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7" fillId="0" borderId="60" xfId="0" applyFont="1" applyFill="1" applyBorder="1" applyAlignment="1">
      <alignment vertical="center" wrapText="1"/>
    </xf>
    <xf numFmtId="3" fontId="14" fillId="0" borderId="61" xfId="0" applyNumberFormat="1" applyFont="1" applyFill="1" applyBorder="1" applyAlignment="1">
      <alignment vertical="center" wrapText="1"/>
    </xf>
    <xf numFmtId="3" fontId="219" fillId="0" borderId="13" xfId="0" applyNumberFormat="1" applyFont="1" applyFill="1" applyBorder="1" applyAlignment="1">
      <alignment horizontal="right" vertical="center" wrapText="1"/>
    </xf>
    <xf numFmtId="9" fontId="7" fillId="0" borderId="62" xfId="2267" applyFont="1" applyFill="1" applyBorder="1" applyAlignment="1">
      <alignment horizontal="right" vertical="center" wrapText="1"/>
    </xf>
    <xf numFmtId="9" fontId="6" fillId="0" borderId="63" xfId="2267" applyFont="1" applyFill="1" applyBorder="1" applyAlignment="1">
      <alignment horizontal="right" vertical="center" wrapText="1"/>
    </xf>
    <xf numFmtId="0" fontId="7" fillId="0" borderId="5" xfId="0" applyFont="1" applyFill="1" applyBorder="1" applyAlignment="1">
      <alignment vertical="center" wrapText="1"/>
    </xf>
    <xf numFmtId="3" fontId="14" fillId="0" borderId="19" xfId="5" applyNumberFormat="1" applyFont="1" applyFill="1" applyBorder="1" applyAlignment="1">
      <alignment vertical="center" wrapText="1"/>
    </xf>
    <xf numFmtId="3" fontId="7" fillId="0" borderId="19" xfId="5" applyNumberFormat="1" applyFont="1" applyFill="1" applyBorder="1" applyAlignment="1">
      <alignment vertical="center" wrapText="1"/>
    </xf>
    <xf numFmtId="3" fontId="7" fillId="0" borderId="19" xfId="0" applyNumberFormat="1" applyFont="1" applyFill="1" applyBorder="1" applyAlignment="1">
      <alignment vertical="center" wrapText="1"/>
    </xf>
    <xf numFmtId="9" fontId="7" fillId="0" borderId="64" xfId="2267" applyFont="1" applyFill="1" applyBorder="1" applyAlignment="1">
      <alignment horizontal="right" vertical="center" wrapText="1"/>
    </xf>
    <xf numFmtId="9" fontId="7" fillId="0" borderId="65" xfId="2267" applyFont="1" applyFill="1" applyBorder="1" applyAlignment="1">
      <alignment horizontal="right" vertical="center" wrapText="1"/>
    </xf>
    <xf numFmtId="0" fontId="249" fillId="0" borderId="13" xfId="0" applyFont="1" applyFill="1" applyBorder="1" applyAlignment="1">
      <alignment horizontal="center" vertical="center" wrapText="1"/>
    </xf>
    <xf numFmtId="0" fontId="249" fillId="0" borderId="13" xfId="0" applyFont="1" applyFill="1" applyBorder="1" applyAlignment="1">
      <alignment vertical="center" wrapText="1"/>
    </xf>
    <xf numFmtId="3" fontId="249" fillId="0" borderId="13" xfId="0" applyNumberFormat="1" applyFont="1" applyFill="1" applyBorder="1" applyAlignment="1">
      <alignment horizontal="right" vertical="center" wrapText="1"/>
    </xf>
    <xf numFmtId="0" fontId="15" fillId="0" borderId="17" xfId="0" applyFont="1" applyFill="1" applyBorder="1" applyAlignment="1">
      <alignment horizontal="center" vertical="center" wrapText="1"/>
    </xf>
    <xf numFmtId="0" fontId="15" fillId="0" borderId="17" xfId="0" applyFont="1" applyFill="1" applyBorder="1" applyAlignment="1">
      <alignment vertical="center" wrapText="1"/>
    </xf>
    <xf numFmtId="175" fontId="15" fillId="0" borderId="17" xfId="1" applyNumberFormat="1"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3" xfId="0" applyFont="1" applyFill="1" applyBorder="1" applyAlignment="1">
      <alignment vertical="center" wrapText="1"/>
    </xf>
    <xf numFmtId="175" fontId="15" fillId="0" borderId="13" xfId="1" applyNumberFormat="1" applyFont="1" applyFill="1" applyBorder="1" applyAlignment="1">
      <alignment horizontal="center" vertical="center" wrapText="1"/>
    </xf>
    <xf numFmtId="3" fontId="15" fillId="0" borderId="13" xfId="0" applyNumberFormat="1" applyFont="1" applyFill="1" applyBorder="1" applyAlignment="1">
      <alignment horizontal="right" vertical="center" wrapText="1"/>
    </xf>
    <xf numFmtId="173" fontId="15" fillId="0" borderId="13" xfId="1" applyNumberFormat="1" applyFont="1" applyFill="1" applyBorder="1" applyAlignment="1">
      <alignment vertical="center" wrapText="1"/>
    </xf>
    <xf numFmtId="173" fontId="14" fillId="0" borderId="13" xfId="0" applyNumberFormat="1" applyFont="1" applyFill="1" applyBorder="1" applyAlignment="1">
      <alignment horizontal="center" vertical="center" wrapText="1"/>
    </xf>
    <xf numFmtId="173" fontId="14" fillId="0" borderId="13" xfId="1" applyNumberFormat="1" applyFont="1" applyFill="1" applyBorder="1" applyAlignment="1">
      <alignment horizontal="center" vertical="center" wrapText="1"/>
    </xf>
    <xf numFmtId="175" fontId="14" fillId="0" borderId="13" xfId="1" applyNumberFormat="1" applyFont="1" applyFill="1" applyBorder="1" applyAlignment="1">
      <alignment horizontal="center" vertical="center" wrapText="1"/>
    </xf>
    <xf numFmtId="0" fontId="221" fillId="0" borderId="13" xfId="0" applyFont="1" applyFill="1" applyBorder="1" applyAlignment="1">
      <alignment vertical="center" wrapText="1"/>
    </xf>
    <xf numFmtId="173" fontId="15" fillId="0" borderId="13" xfId="0" applyNumberFormat="1" applyFont="1" applyFill="1" applyBorder="1" applyAlignment="1">
      <alignment horizontal="center" vertical="center" wrapText="1"/>
    </xf>
    <xf numFmtId="173" fontId="15" fillId="0" borderId="13" xfId="1" applyNumberFormat="1" applyFont="1" applyFill="1" applyBorder="1" applyAlignment="1">
      <alignment horizontal="center" vertical="center" wrapText="1"/>
    </xf>
    <xf numFmtId="0" fontId="14" fillId="0" borderId="13" xfId="0" quotePrefix="1" applyFont="1" applyFill="1" applyBorder="1" applyAlignment="1">
      <alignment horizontal="center" vertical="center" wrapText="1"/>
    </xf>
    <xf numFmtId="0" fontId="14" fillId="0" borderId="13" xfId="0" applyFont="1" applyFill="1" applyBorder="1" applyAlignment="1">
      <alignment horizontal="left" vertical="center" wrapText="1"/>
    </xf>
    <xf numFmtId="0" fontId="15" fillId="0" borderId="19" xfId="0" applyFont="1" applyFill="1" applyBorder="1" applyAlignment="1">
      <alignment horizontal="center" vertical="center" wrapText="1"/>
    </xf>
    <xf numFmtId="0" fontId="15" fillId="0" borderId="19" xfId="0" applyFont="1" applyFill="1" applyBorder="1" applyAlignment="1">
      <alignment vertical="center" wrapText="1"/>
    </xf>
    <xf numFmtId="3" fontId="15" fillId="0" borderId="19" xfId="0" applyNumberFormat="1" applyFont="1" applyFill="1" applyBorder="1" applyAlignment="1">
      <alignment horizontal="right" vertical="center" wrapText="1"/>
    </xf>
    <xf numFmtId="175" fontId="15" fillId="0" borderId="19" xfId="1" applyNumberFormat="1" applyFont="1" applyFill="1" applyBorder="1" applyAlignment="1">
      <alignment horizontal="center" vertical="center" wrapText="1"/>
    </xf>
    <xf numFmtId="175" fontId="236" fillId="0" borderId="13" xfId="1" applyNumberFormat="1" applyFont="1" applyFill="1" applyBorder="1" applyAlignment="1">
      <alignment horizontal="center" vertical="center" wrapText="1"/>
    </xf>
    <xf numFmtId="3" fontId="7" fillId="0" borderId="13" xfId="5" applyNumberFormat="1" applyFont="1" applyFill="1" applyBorder="1" applyAlignment="1">
      <alignment vertical="center" wrapText="1"/>
    </xf>
    <xf numFmtId="0" fontId="248" fillId="0" borderId="0" xfId="0" applyFont="1" applyFill="1" applyAlignment="1">
      <alignment vertical="center"/>
    </xf>
    <xf numFmtId="0" fontId="248" fillId="0" borderId="0" xfId="0" applyFont="1" applyFill="1" applyAlignment="1">
      <alignment horizontal="left" vertical="center"/>
    </xf>
    <xf numFmtId="0" fontId="249" fillId="0" borderId="0" xfId="0" applyFont="1" applyFill="1" applyBorder="1" applyAlignment="1">
      <alignment horizontal="center" vertical="center" wrapText="1"/>
    </xf>
    <xf numFmtId="0" fontId="249" fillId="0" borderId="1" xfId="0" applyFont="1" applyFill="1" applyBorder="1" applyAlignment="1">
      <alignment horizontal="center" vertical="center" wrapText="1"/>
    </xf>
    <xf numFmtId="0" fontId="249" fillId="0" borderId="17" xfId="0" applyFont="1" applyFill="1" applyBorder="1" applyAlignment="1">
      <alignment horizontal="center" vertical="center" wrapText="1"/>
    </xf>
    <xf numFmtId="0" fontId="249" fillId="0" borderId="17" xfId="0" applyFont="1" applyFill="1" applyBorder="1" applyAlignment="1">
      <alignment vertical="center" wrapText="1"/>
    </xf>
    <xf numFmtId="3" fontId="249" fillId="0" borderId="17" xfId="0" applyNumberFormat="1" applyFont="1" applyFill="1" applyBorder="1" applyAlignment="1">
      <alignment horizontal="right" vertical="center" wrapText="1"/>
    </xf>
    <xf numFmtId="175" fontId="249" fillId="0" borderId="17" xfId="1" applyNumberFormat="1" applyFont="1" applyFill="1" applyBorder="1" applyAlignment="1">
      <alignment vertical="center" wrapText="1"/>
    </xf>
    <xf numFmtId="3" fontId="248" fillId="0" borderId="0" xfId="0" applyNumberFormat="1" applyFont="1" applyFill="1" applyAlignment="1">
      <alignment vertical="center"/>
    </xf>
    <xf numFmtId="173" fontId="249" fillId="0" borderId="13" xfId="1" applyNumberFormat="1" applyFont="1" applyFill="1" applyBorder="1" applyAlignment="1">
      <alignment horizontal="right" vertical="center" wrapText="1"/>
    </xf>
    <xf numFmtId="175" fontId="249" fillId="0" borderId="13" xfId="1" applyNumberFormat="1" applyFont="1" applyFill="1" applyBorder="1" applyAlignment="1">
      <alignment vertical="center" wrapText="1"/>
    </xf>
    <xf numFmtId="0" fontId="241" fillId="0" borderId="13" xfId="0" applyFont="1" applyFill="1" applyBorder="1" applyAlignment="1">
      <alignment horizontal="center" vertical="center" wrapText="1"/>
    </xf>
    <xf numFmtId="0" fontId="241" fillId="0" borderId="13" xfId="0" applyFont="1" applyFill="1" applyBorder="1" applyAlignment="1">
      <alignment vertical="center" wrapText="1"/>
    </xf>
    <xf numFmtId="175" fontId="241" fillId="0" borderId="13" xfId="1" applyNumberFormat="1" applyFont="1" applyFill="1" applyBorder="1" applyAlignment="1">
      <alignment vertical="center" wrapText="1"/>
    </xf>
    <xf numFmtId="0" fontId="251" fillId="0" borderId="13" xfId="0" applyFont="1" applyFill="1" applyBorder="1" applyAlignment="1">
      <alignment vertical="center" wrapText="1"/>
    </xf>
    <xf numFmtId="173" fontId="248" fillId="0" borderId="0" xfId="0" applyNumberFormat="1" applyFont="1" applyFill="1" applyAlignment="1">
      <alignment vertical="center"/>
    </xf>
    <xf numFmtId="173" fontId="241" fillId="0" borderId="13" xfId="1" applyNumberFormat="1" applyFont="1" applyFill="1" applyBorder="1" applyAlignment="1">
      <alignment horizontal="right" vertical="center" wrapText="1"/>
    </xf>
    <xf numFmtId="0" fontId="241" fillId="0" borderId="13" xfId="1004" applyFont="1" applyFill="1" applyBorder="1" applyAlignment="1">
      <alignment vertical="center" wrapText="1"/>
    </xf>
    <xf numFmtId="3" fontId="241" fillId="0" borderId="13" xfId="1468" applyNumberFormat="1" applyFont="1" applyFill="1" applyBorder="1" applyAlignment="1">
      <alignment vertical="center" wrapText="1"/>
    </xf>
    <xf numFmtId="0" fontId="241" fillId="0" borderId="13" xfId="1500" applyFont="1" applyFill="1" applyBorder="1" applyAlignment="1">
      <alignment vertical="center" wrapText="1"/>
    </xf>
    <xf numFmtId="3" fontId="241" fillId="0" borderId="13" xfId="1004" applyNumberFormat="1" applyFont="1" applyFill="1" applyBorder="1" applyAlignment="1">
      <alignment vertical="center" wrapText="1"/>
    </xf>
    <xf numFmtId="3" fontId="249" fillId="0" borderId="13" xfId="1468" applyNumberFormat="1" applyFont="1" applyFill="1" applyBorder="1" applyAlignment="1">
      <alignment vertical="center" wrapText="1"/>
    </xf>
    <xf numFmtId="0" fontId="241" fillId="0" borderId="13" xfId="0" quotePrefix="1" applyFont="1" applyFill="1" applyBorder="1" applyAlignment="1">
      <alignment horizontal="center" vertical="center" wrapText="1"/>
    </xf>
    <xf numFmtId="0" fontId="241" fillId="0" borderId="13" xfId="0" applyFont="1" applyFill="1" applyBorder="1" applyAlignment="1">
      <alignment horizontal="left" vertical="center" wrapText="1"/>
    </xf>
    <xf numFmtId="0" fontId="249" fillId="0" borderId="19" xfId="0" applyFont="1" applyFill="1" applyBorder="1" applyAlignment="1">
      <alignment horizontal="center" vertical="center" wrapText="1"/>
    </xf>
    <xf numFmtId="0" fontId="249" fillId="0" borderId="19" xfId="0" applyFont="1" applyFill="1" applyBorder="1" applyAlignment="1">
      <alignment vertical="center" wrapText="1"/>
    </xf>
    <xf numFmtId="3" fontId="249" fillId="0" borderId="19" xfId="0" applyNumberFormat="1" applyFont="1" applyFill="1" applyBorder="1" applyAlignment="1">
      <alignment horizontal="right" vertical="center" wrapText="1"/>
    </xf>
    <xf numFmtId="175" fontId="249" fillId="0" borderId="19" xfId="1" applyNumberFormat="1" applyFont="1" applyFill="1" applyBorder="1" applyAlignment="1">
      <alignment vertical="center" wrapText="1"/>
    </xf>
    <xf numFmtId="0" fontId="248" fillId="0" borderId="66" xfId="0" applyFont="1" applyBorder="1" applyAlignment="1">
      <alignment vertical="center" wrapText="1"/>
    </xf>
    <xf numFmtId="0" fontId="6" fillId="0" borderId="17"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6" xfId="0" applyFont="1" applyBorder="1" applyAlignment="1">
      <alignment vertical="center" wrapText="1"/>
    </xf>
    <xf numFmtId="3" fontId="6" fillId="0" borderId="66" xfId="0" applyNumberFormat="1" applyFont="1" applyBorder="1" applyAlignment="1">
      <alignment horizontal="right" vertical="center" wrapText="1"/>
    </xf>
    <xf numFmtId="303" fontId="6" fillId="0" borderId="66" xfId="2266" applyNumberFormat="1" applyFont="1" applyBorder="1" applyAlignment="1">
      <alignment horizontal="center" vertical="center" wrapText="1"/>
    </xf>
    <xf numFmtId="0" fontId="7" fillId="0" borderId="66" xfId="0" applyFont="1" applyBorder="1" applyAlignment="1">
      <alignment horizontal="center" vertical="center" wrapText="1"/>
    </xf>
    <xf numFmtId="0" fontId="7" fillId="0" borderId="66" xfId="0" applyFont="1" applyBorder="1" applyAlignment="1">
      <alignment vertical="center" wrapText="1"/>
    </xf>
    <xf numFmtId="3" fontId="7" fillId="0" borderId="66" xfId="0" applyNumberFormat="1" applyFont="1" applyBorder="1" applyAlignment="1">
      <alignment horizontal="right" vertical="center" wrapText="1"/>
    </xf>
    <xf numFmtId="303" fontId="7" fillId="0" borderId="66" xfId="2266" applyNumberFormat="1" applyFont="1" applyBorder="1" applyAlignment="1">
      <alignment horizontal="center" vertical="center" wrapText="1"/>
    </xf>
    <xf numFmtId="0" fontId="7" fillId="0" borderId="66" xfId="0" quotePrefix="1" applyFont="1" applyBorder="1" applyAlignment="1">
      <alignment horizontal="center" vertical="center" wrapText="1"/>
    </xf>
    <xf numFmtId="0" fontId="8" fillId="0" borderId="66" xfId="0" applyFont="1" applyBorder="1" applyAlignment="1">
      <alignment horizontal="center" vertical="center" wrapText="1"/>
    </xf>
    <xf numFmtId="0" fontId="8" fillId="0" borderId="66" xfId="0" applyFont="1" applyBorder="1" applyAlignment="1">
      <alignment vertical="center" wrapText="1"/>
    </xf>
    <xf numFmtId="3" fontId="8" fillId="0" borderId="66" xfId="0" applyNumberFormat="1" applyFont="1" applyBorder="1" applyAlignment="1">
      <alignment horizontal="right" vertical="center" wrapText="1"/>
    </xf>
    <xf numFmtId="303" fontId="8" fillId="0" borderId="66" xfId="2266" applyNumberFormat="1" applyFont="1" applyBorder="1" applyAlignment="1">
      <alignment horizontal="center" vertical="center" wrapText="1"/>
    </xf>
    <xf numFmtId="3" fontId="6" fillId="0" borderId="66" xfId="0" applyNumberFormat="1" applyFont="1" applyBorder="1" applyAlignment="1">
      <alignment vertical="center" wrapText="1"/>
    </xf>
    <xf numFmtId="0" fontId="8" fillId="0" borderId="66" xfId="0" quotePrefix="1" applyFont="1" applyBorder="1" applyAlignment="1">
      <alignment horizontal="center" vertical="center" wrapText="1"/>
    </xf>
    <xf numFmtId="0" fontId="6" fillId="0" borderId="66" xfId="0" quotePrefix="1" applyFont="1" applyBorder="1" applyAlignment="1">
      <alignment horizontal="center" vertical="center" wrapText="1"/>
    </xf>
    <xf numFmtId="0" fontId="6" fillId="0" borderId="19" xfId="0" applyFont="1" applyBorder="1" applyAlignment="1">
      <alignment horizontal="center" vertical="center" wrapText="1"/>
    </xf>
    <xf numFmtId="0" fontId="6" fillId="0" borderId="19" xfId="0" applyFont="1" applyBorder="1" applyAlignment="1">
      <alignment vertical="center" wrapText="1"/>
    </xf>
    <xf numFmtId="3" fontId="6" fillId="0" borderId="19" xfId="0" applyNumberFormat="1" applyFont="1" applyBorder="1" applyAlignment="1">
      <alignment horizontal="right" vertical="center" wrapText="1"/>
    </xf>
    <xf numFmtId="303" fontId="6" fillId="0" borderId="19" xfId="2266" applyNumberFormat="1" applyFont="1" applyBorder="1" applyAlignment="1">
      <alignment horizontal="center" vertical="center" wrapText="1"/>
    </xf>
    <xf numFmtId="3" fontId="15" fillId="0" borderId="17" xfId="0" applyNumberFormat="1" applyFont="1" applyFill="1" applyBorder="1" applyAlignment="1">
      <alignment vertical="center" wrapText="1"/>
    </xf>
    <xf numFmtId="3" fontId="15" fillId="0" borderId="66" xfId="0" applyNumberFormat="1" applyFont="1" applyFill="1" applyBorder="1" applyAlignment="1">
      <alignment vertical="center" wrapText="1"/>
    </xf>
    <xf numFmtId="3" fontId="16" fillId="0" borderId="66" xfId="2" applyNumberFormat="1" applyFont="1" applyFill="1" applyBorder="1" applyAlignment="1">
      <alignment vertical="center" wrapText="1"/>
    </xf>
    <xf numFmtId="3" fontId="14" fillId="0" borderId="66" xfId="0" applyNumberFormat="1" applyFont="1" applyFill="1" applyBorder="1" applyAlignment="1">
      <alignment vertical="center" wrapText="1"/>
    </xf>
    <xf numFmtId="3" fontId="7" fillId="0" borderId="66" xfId="0" applyNumberFormat="1" applyFont="1" applyFill="1" applyBorder="1" applyAlignment="1">
      <alignment horizontal="right" vertical="center" wrapText="1"/>
    </xf>
    <xf numFmtId="3" fontId="14" fillId="0" borderId="66" xfId="1" applyNumberFormat="1" applyFont="1" applyFill="1" applyBorder="1" applyAlignment="1">
      <alignment vertical="center" wrapText="1"/>
    </xf>
    <xf numFmtId="3" fontId="249" fillId="0" borderId="13" xfId="0" applyNumberFormat="1" applyFont="1" applyFill="1" applyBorder="1" applyAlignment="1">
      <alignment vertical="center" wrapText="1"/>
    </xf>
    <xf numFmtId="3" fontId="249" fillId="0" borderId="17" xfId="0" applyNumberFormat="1" applyFont="1" applyFill="1" applyBorder="1" applyAlignment="1">
      <alignment vertical="center" wrapText="1"/>
    </xf>
    <xf numFmtId="3" fontId="241" fillId="0" borderId="13" xfId="0" applyNumberFormat="1" applyFont="1" applyFill="1" applyBorder="1" applyAlignment="1">
      <alignment vertical="center" wrapText="1"/>
    </xf>
    <xf numFmtId="168" fontId="241" fillId="0" borderId="13" xfId="1" applyFont="1" applyFill="1" applyBorder="1" applyAlignment="1">
      <alignment vertical="center" wrapText="1"/>
    </xf>
    <xf numFmtId="0" fontId="21" fillId="0" borderId="0" xfId="0" applyFont="1" applyFill="1" applyAlignment="1">
      <alignment vertical="center"/>
    </xf>
    <xf numFmtId="3" fontId="249" fillId="0" borderId="19" xfId="0" applyNumberFormat="1" applyFont="1" applyFill="1" applyBorder="1" applyAlignment="1">
      <alignment vertical="center" wrapText="1"/>
    </xf>
    <xf numFmtId="0" fontId="247" fillId="0" borderId="0" xfId="0" applyFont="1" applyFill="1" applyAlignment="1">
      <alignment horizontal="center" vertical="center"/>
    </xf>
    <xf numFmtId="0" fontId="249" fillId="0" borderId="0" xfId="0" applyFont="1" applyFill="1" applyAlignment="1">
      <alignment horizontal="center" vertical="center"/>
    </xf>
    <xf numFmtId="0" fontId="248" fillId="0" borderId="0" xfId="0" applyFont="1" applyFill="1" applyAlignment="1">
      <alignment horizontal="center" vertical="center"/>
    </xf>
    <xf numFmtId="0" fontId="249" fillId="0" borderId="1" xfId="0" quotePrefix="1" applyFont="1" applyFill="1" applyBorder="1" applyAlignment="1">
      <alignment horizontal="center" vertical="center" wrapText="1"/>
    </xf>
    <xf numFmtId="3" fontId="20" fillId="0" borderId="0" xfId="0" applyNumberFormat="1" applyFont="1" applyFill="1"/>
    <xf numFmtId="3" fontId="14" fillId="0" borderId="66" xfId="0" applyNumberFormat="1" applyFont="1" applyFill="1" applyBorder="1" applyAlignment="1">
      <alignment horizontal="right" vertical="center" wrapText="1"/>
    </xf>
    <xf numFmtId="3" fontId="14" fillId="0" borderId="66" xfId="1" applyNumberFormat="1" applyFont="1" applyFill="1" applyBorder="1" applyAlignment="1">
      <alignment horizontal="right" vertical="center" wrapText="1"/>
    </xf>
    <xf numFmtId="3" fontId="241" fillId="0" borderId="66" xfId="0" applyNumberFormat="1" applyFont="1" applyFill="1" applyBorder="1" applyAlignment="1">
      <alignment horizontal="right" vertical="center" wrapText="1"/>
    </xf>
    <xf numFmtId="177" fontId="14" fillId="0" borderId="66" xfId="5" applyNumberFormat="1" applyFont="1" applyFill="1" applyBorder="1" applyAlignment="1">
      <alignment horizontal="right" vertical="center" wrapText="1"/>
    </xf>
    <xf numFmtId="174" fontId="14" fillId="0" borderId="66" xfId="1" applyNumberFormat="1" applyFont="1" applyFill="1" applyBorder="1" applyAlignment="1">
      <alignment horizontal="center" vertical="center" wrapText="1"/>
    </xf>
    <xf numFmtId="0" fontId="15" fillId="0" borderId="66" xfId="0" applyFont="1" applyFill="1" applyBorder="1" applyAlignment="1">
      <alignment horizontal="center" vertical="center" wrapText="1"/>
    </xf>
    <xf numFmtId="0" fontId="15" fillId="0" borderId="66" xfId="0" applyFont="1" applyFill="1" applyBorder="1" applyAlignment="1">
      <alignment vertical="center" wrapText="1"/>
    </xf>
    <xf numFmtId="3" fontId="15" fillId="0" borderId="66" xfId="0" applyNumberFormat="1" applyFont="1" applyFill="1" applyBorder="1" applyAlignment="1">
      <alignment horizontal="right" vertical="center" wrapText="1"/>
    </xf>
    <xf numFmtId="175" fontId="15" fillId="0" borderId="66" xfId="1" applyNumberFormat="1" applyFont="1" applyFill="1" applyBorder="1" applyAlignment="1">
      <alignment horizontal="center" vertical="center" wrapText="1"/>
    </xf>
    <xf numFmtId="0" fontId="87" fillId="0" borderId="66" xfId="0" applyFont="1" applyFill="1" applyBorder="1" applyAlignment="1" applyProtection="1">
      <alignment horizontal="left" vertical="center" wrapText="1"/>
      <protection locked="0"/>
    </xf>
    <xf numFmtId="173" fontId="87" fillId="0" borderId="66" xfId="1" applyNumberFormat="1" applyFont="1" applyFill="1" applyBorder="1" applyAlignment="1">
      <alignment horizontal="center" vertical="center" wrapText="1"/>
    </xf>
    <xf numFmtId="173" fontId="87" fillId="0" borderId="66" xfId="1" applyNumberFormat="1" applyFont="1" applyFill="1" applyBorder="1" applyAlignment="1">
      <alignment vertical="center"/>
    </xf>
    <xf numFmtId="175" fontId="87" fillId="0" borderId="66" xfId="1" applyNumberFormat="1" applyFont="1" applyFill="1" applyBorder="1" applyAlignment="1">
      <alignment horizontal="center" vertical="center" wrapText="1"/>
    </xf>
    <xf numFmtId="173" fontId="87" fillId="0" borderId="66" xfId="3" quotePrefix="1" applyNumberFormat="1" applyFont="1" applyFill="1" applyBorder="1" applyAlignment="1">
      <alignment horizontal="center" vertical="center"/>
    </xf>
    <xf numFmtId="0" fontId="6" fillId="0" borderId="1" xfId="0" applyFont="1" applyBorder="1" applyAlignment="1">
      <alignment horizontal="center" vertical="center" wrapText="1"/>
    </xf>
    <xf numFmtId="0" fontId="229" fillId="0" borderId="0" xfId="0" applyFont="1" applyAlignment="1">
      <alignment horizontal="center" vertical="center"/>
    </xf>
    <xf numFmtId="0" fontId="232" fillId="0" borderId="0" xfId="1487" applyFont="1" applyFill="1" applyAlignment="1">
      <alignment horizontal="center" vertical="center" wrapText="1"/>
    </xf>
    <xf numFmtId="302" fontId="4" fillId="0" borderId="0" xfId="0" applyNumberFormat="1" applyFont="1"/>
    <xf numFmtId="171" fontId="4" fillId="0" borderId="0" xfId="0" applyNumberFormat="1" applyFont="1"/>
    <xf numFmtId="0" fontId="14" fillId="71" borderId="66" xfId="0" applyFont="1" applyFill="1" applyBorder="1" applyAlignment="1">
      <alignment horizontal="left" vertical="center"/>
    </xf>
    <xf numFmtId="0" fontId="14" fillId="71" borderId="66" xfId="0" applyFont="1" applyFill="1" applyBorder="1" applyAlignment="1">
      <alignment horizontal="left" vertical="center" wrapText="1"/>
    </xf>
    <xf numFmtId="0" fontId="14" fillId="71" borderId="19" xfId="0" applyFont="1" applyFill="1" applyBorder="1" applyAlignment="1">
      <alignment horizontal="left" vertical="center" wrapText="1"/>
    </xf>
    <xf numFmtId="302" fontId="6" fillId="0" borderId="66" xfId="0" applyNumberFormat="1" applyFont="1" applyBorder="1" applyAlignment="1">
      <alignment vertical="center" wrapText="1"/>
    </xf>
    <xf numFmtId="302" fontId="7" fillId="0" borderId="66" xfId="0" applyNumberFormat="1" applyFont="1" applyBorder="1" applyAlignment="1">
      <alignment vertical="center" wrapText="1"/>
    </xf>
    <xf numFmtId="173" fontId="7" fillId="0" borderId="66" xfId="1" applyNumberFormat="1" applyFont="1" applyBorder="1" applyAlignment="1">
      <alignment vertical="center" wrapText="1"/>
    </xf>
    <xf numFmtId="302" fontId="7" fillId="0" borderId="66" xfId="0" applyNumberFormat="1" applyFont="1" applyBorder="1" applyAlignment="1">
      <alignment horizontal="right" vertical="center" wrapText="1"/>
    </xf>
    <xf numFmtId="0" fontId="14" fillId="0" borderId="66" xfId="0" applyFont="1" applyBorder="1" applyAlignment="1">
      <alignment vertical="center" wrapText="1"/>
    </xf>
    <xf numFmtId="0" fontId="14" fillId="0" borderId="66" xfId="0" applyFont="1" applyBorder="1" applyAlignment="1">
      <alignment horizontal="justify" vertical="center" wrapText="1"/>
    </xf>
    <xf numFmtId="169" fontId="7" fillId="0" borderId="66" xfId="0" applyNumberFormat="1" applyFont="1" applyBorder="1" applyAlignment="1">
      <alignment vertical="center" wrapText="1"/>
    </xf>
    <xf numFmtId="302" fontId="7" fillId="71" borderId="66" xfId="0" applyNumberFormat="1" applyFont="1" applyFill="1" applyBorder="1" applyAlignment="1">
      <alignment vertical="center" wrapText="1"/>
    </xf>
    <xf numFmtId="169" fontId="7" fillId="71" borderId="66" xfId="0" applyNumberFormat="1" applyFont="1" applyFill="1" applyBorder="1" applyAlignment="1">
      <alignment vertical="center" wrapText="1"/>
    </xf>
    <xf numFmtId="175" fontId="7" fillId="0" borderId="66" xfId="1" applyNumberFormat="1" applyFont="1" applyFill="1" applyBorder="1" applyAlignment="1">
      <alignment vertical="center" wrapText="1"/>
    </xf>
    <xf numFmtId="0" fontId="7" fillId="0" borderId="66" xfId="2268" applyFont="1" applyBorder="1" applyAlignment="1">
      <alignment vertical="center" wrapText="1"/>
    </xf>
    <xf numFmtId="174" fontId="7" fillId="0" borderId="66" xfId="1" applyNumberFormat="1" applyFont="1" applyBorder="1" applyAlignment="1">
      <alignment horizontal="right" vertical="center" wrapText="1"/>
    </xf>
    <xf numFmtId="0" fontId="7" fillId="0" borderId="19" xfId="0" applyFont="1" applyBorder="1" applyAlignment="1">
      <alignment horizontal="center" vertical="center" wrapText="1"/>
    </xf>
    <xf numFmtId="0" fontId="7" fillId="0" borderId="19" xfId="0" applyFont="1" applyBorder="1" applyAlignment="1">
      <alignment vertical="center" wrapText="1"/>
    </xf>
    <xf numFmtId="302" fontId="7" fillId="0" borderId="19" xfId="0" applyNumberFormat="1" applyFont="1" applyBorder="1" applyAlignment="1">
      <alignment vertical="center" wrapText="1"/>
    </xf>
    <xf numFmtId="9" fontId="14" fillId="0" borderId="13" xfId="0" applyNumberFormat="1" applyFont="1" applyFill="1" applyBorder="1" applyAlignment="1">
      <alignment horizontal="right" vertical="center" wrapText="1"/>
    </xf>
    <xf numFmtId="9" fontId="14" fillId="0" borderId="19" xfId="0" applyNumberFormat="1" applyFont="1" applyFill="1" applyBorder="1" applyAlignment="1">
      <alignment horizontal="right" vertical="center" wrapText="1"/>
    </xf>
    <xf numFmtId="9" fontId="237" fillId="0" borderId="17" xfId="2266" applyFont="1" applyFill="1" applyBorder="1" applyAlignment="1">
      <alignment horizontal="right" vertical="center" wrapText="1"/>
    </xf>
    <xf numFmtId="9" fontId="14" fillId="0" borderId="13" xfId="2266" applyFont="1" applyFill="1" applyBorder="1" applyAlignment="1">
      <alignment horizontal="right" vertical="center" wrapText="1"/>
    </xf>
    <xf numFmtId="9" fontId="14" fillId="0" borderId="19" xfId="2266" applyFont="1" applyFill="1" applyBorder="1" applyAlignment="1">
      <alignment horizontal="right" vertical="center" wrapText="1"/>
    </xf>
    <xf numFmtId="9" fontId="14" fillId="0" borderId="13" xfId="2266" applyNumberFormat="1" applyFont="1" applyFill="1" applyBorder="1" applyAlignment="1">
      <alignment horizontal="right" vertical="center" wrapText="1"/>
    </xf>
    <xf numFmtId="9" fontId="14" fillId="0" borderId="19" xfId="2266" applyNumberFormat="1" applyFont="1" applyFill="1" applyBorder="1" applyAlignment="1">
      <alignment horizontal="right" vertical="center" wrapText="1"/>
    </xf>
    <xf numFmtId="213" fontId="6" fillId="0" borderId="66" xfId="0" applyNumberFormat="1" applyFont="1" applyBorder="1" applyAlignment="1">
      <alignment vertical="center" wrapText="1"/>
    </xf>
    <xf numFmtId="213" fontId="7" fillId="0" borderId="66" xfId="0" applyNumberFormat="1" applyFont="1" applyBorder="1" applyAlignment="1">
      <alignment vertical="center" wrapText="1"/>
    </xf>
    <xf numFmtId="213" fontId="7" fillId="71" borderId="66" xfId="0" applyNumberFormat="1" applyFont="1" applyFill="1" applyBorder="1" applyAlignment="1">
      <alignment vertical="center" wrapText="1"/>
    </xf>
    <xf numFmtId="173" fontId="117" fillId="0" borderId="0" xfId="0" applyNumberFormat="1" applyFont="1" applyFill="1" applyAlignment="1">
      <alignment vertical="center"/>
    </xf>
    <xf numFmtId="0" fontId="6" fillId="0" borderId="1" xfId="0" applyFont="1" applyFill="1" applyBorder="1" applyAlignment="1">
      <alignment horizontal="center" vertical="center" wrapText="1"/>
    </xf>
    <xf numFmtId="175" fontId="87" fillId="0" borderId="19" xfId="1" applyNumberFormat="1" applyFont="1" applyFill="1" applyBorder="1" applyAlignment="1">
      <alignment horizontal="center" vertical="center" wrapText="1"/>
    </xf>
    <xf numFmtId="175" fontId="14" fillId="0" borderId="13" xfId="1" applyNumberFormat="1" applyFont="1" applyFill="1" applyBorder="1" applyAlignment="1">
      <alignment vertical="center" wrapText="1"/>
    </xf>
    <xf numFmtId="175" fontId="15" fillId="0" borderId="13" xfId="1" applyNumberFormat="1" applyFont="1" applyFill="1" applyBorder="1" applyAlignment="1">
      <alignment vertical="center" wrapText="1"/>
    </xf>
    <xf numFmtId="0" fontId="6" fillId="0" borderId="1" xfId="0" applyFont="1" applyBorder="1" applyAlignment="1">
      <alignment horizontal="center" vertical="center" wrapText="1"/>
    </xf>
    <xf numFmtId="0" fontId="220"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243" fillId="70" borderId="0" xfId="0" applyFont="1" applyFill="1" applyAlignment="1">
      <alignment vertical="center" wrapText="1"/>
    </xf>
    <xf numFmtId="0" fontId="243" fillId="0" borderId="0" xfId="0" applyFont="1" applyFill="1" applyAlignment="1">
      <alignment vertical="center"/>
    </xf>
    <xf numFmtId="0" fontId="9" fillId="0" borderId="0" xfId="0" applyFont="1" applyAlignment="1">
      <alignment horizontal="right" vertical="center"/>
    </xf>
    <xf numFmtId="4" fontId="9" fillId="0" borderId="0" xfId="0" applyNumberFormat="1" applyFont="1" applyAlignment="1">
      <alignment vertical="center"/>
    </xf>
    <xf numFmtId="3" fontId="220" fillId="0" borderId="0" xfId="0" applyNumberFormat="1" applyFont="1" applyAlignment="1">
      <alignment vertical="center"/>
    </xf>
    <xf numFmtId="4" fontId="220" fillId="0" borderId="0" xfId="0" applyNumberFormat="1" applyFont="1" applyAlignment="1">
      <alignment vertical="center"/>
    </xf>
    <xf numFmtId="0" fontId="222" fillId="0" borderId="0" xfId="0" applyFont="1" applyAlignment="1">
      <alignment vertical="center"/>
    </xf>
    <xf numFmtId="173" fontId="9" fillId="0" borderId="0" xfId="1" applyNumberFormat="1" applyFont="1" applyAlignment="1">
      <alignment vertical="center"/>
    </xf>
    <xf numFmtId="173" fontId="9" fillId="0" borderId="0" xfId="0" applyNumberFormat="1" applyFont="1" applyAlignment="1">
      <alignment vertical="center"/>
    </xf>
    <xf numFmtId="0" fontId="10" fillId="0" borderId="0" xfId="0" applyFont="1" applyAlignment="1">
      <alignment vertical="center"/>
    </xf>
    <xf numFmtId="0" fontId="249" fillId="0" borderId="0" xfId="0" applyFont="1" applyFill="1" applyBorder="1" applyAlignment="1">
      <alignment vertical="center" wrapText="1"/>
    </xf>
    <xf numFmtId="0" fontId="15" fillId="0" borderId="1" xfId="1487" applyFont="1" applyBorder="1" applyAlignment="1">
      <alignment horizontal="center" vertical="center" wrapText="1"/>
    </xf>
    <xf numFmtId="0" fontId="15" fillId="0" borderId="1" xfId="0" applyFont="1" applyFill="1" applyBorder="1" applyAlignment="1">
      <alignment horizontal="center" vertical="center" wrapText="1"/>
    </xf>
    <xf numFmtId="0" fontId="117" fillId="0" borderId="1" xfId="0" applyFont="1" applyFill="1" applyBorder="1" applyAlignment="1">
      <alignment horizontal="center" vertical="center" wrapText="1"/>
    </xf>
    <xf numFmtId="0" fontId="117" fillId="0" borderId="15" xfId="0" applyFont="1" applyFill="1" applyBorder="1" applyAlignment="1">
      <alignment horizontal="center" vertical="center" wrapText="1"/>
    </xf>
    <xf numFmtId="0" fontId="226" fillId="0" borderId="0" xfId="1487" applyFont="1"/>
    <xf numFmtId="0" fontId="87" fillId="0" borderId="0" xfId="1487" applyFont="1" applyAlignment="1">
      <alignment vertical="center"/>
    </xf>
    <xf numFmtId="0" fontId="226" fillId="0" borderId="0" xfId="1487" applyFont="1" applyAlignment="1">
      <alignment vertical="center" wrapText="1"/>
    </xf>
    <xf numFmtId="0" fontId="226" fillId="0" borderId="0" xfId="1487" applyFont="1" applyAlignment="1">
      <alignment horizontal="center" vertical="center" wrapText="1"/>
    </xf>
    <xf numFmtId="0" fontId="225" fillId="0" borderId="0" xfId="1487" applyFont="1" applyAlignment="1">
      <alignment horizontal="center" vertical="center" wrapText="1"/>
    </xf>
    <xf numFmtId="0" fontId="15" fillId="0" borderId="0" xfId="1487" applyFont="1" applyAlignment="1">
      <alignment horizontal="center" vertical="center" wrapText="1"/>
    </xf>
    <xf numFmtId="0" fontId="15" fillId="0" borderId="17" xfId="1487" applyFont="1" applyBorder="1" applyAlignment="1">
      <alignment horizontal="right" vertical="center" wrapText="1"/>
    </xf>
    <xf numFmtId="3" fontId="15" fillId="0" borderId="17" xfId="1487" applyNumberFormat="1" applyFont="1" applyBorder="1" applyAlignment="1">
      <alignment horizontal="left" vertical="center"/>
    </xf>
    <xf numFmtId="3" fontId="15" fillId="0" borderId="17" xfId="1487" applyNumberFormat="1" applyFont="1" applyBorder="1" applyAlignment="1">
      <alignment horizontal="right" vertical="center"/>
    </xf>
    <xf numFmtId="3" fontId="15" fillId="0" borderId="0" xfId="1487" applyNumberFormat="1" applyFont="1" applyAlignment="1">
      <alignment horizontal="center" vertical="center" wrapText="1"/>
    </xf>
    <xf numFmtId="0" fontId="14" fillId="0" borderId="66" xfId="1487" applyFont="1" applyBorder="1" applyAlignment="1">
      <alignment horizontal="center" vertical="center"/>
    </xf>
    <xf numFmtId="3" fontId="14" fillId="0" borderId="66" xfId="1487" applyNumberFormat="1" applyFont="1" applyBorder="1" applyAlignment="1">
      <alignment horizontal="right" vertical="center"/>
    </xf>
    <xf numFmtId="3" fontId="87" fillId="0" borderId="0" xfId="1487" applyNumberFormat="1" applyFont="1" applyAlignment="1">
      <alignment vertical="center"/>
    </xf>
    <xf numFmtId="0" fontId="226" fillId="0" borderId="0" xfId="1487" applyFont="1" applyAlignment="1">
      <alignment vertical="center"/>
    </xf>
    <xf numFmtId="0" fontId="20" fillId="0" borderId="0" xfId="1487" applyFont="1" applyAlignment="1">
      <alignment vertical="center"/>
    </xf>
    <xf numFmtId="3" fontId="20" fillId="0" borderId="0" xfId="1487" applyNumberFormat="1" applyFont="1" applyAlignment="1">
      <alignment vertical="center"/>
    </xf>
    <xf numFmtId="3" fontId="14" fillId="0" borderId="66" xfId="1487" applyNumberFormat="1" applyFont="1" applyBorder="1" applyAlignment="1">
      <alignment horizontal="right"/>
    </xf>
    <xf numFmtId="0" fontId="14" fillId="0" borderId="19" xfId="1487" applyFont="1" applyBorder="1" applyAlignment="1">
      <alignment horizontal="center" vertical="center"/>
    </xf>
    <xf numFmtId="3" fontId="14" fillId="0" borderId="19" xfId="1487" applyNumberFormat="1" applyFont="1" applyBorder="1" applyAlignment="1">
      <alignment horizontal="right"/>
    </xf>
    <xf numFmtId="3" fontId="14" fillId="0" borderId="19" xfId="1487" applyNumberFormat="1" applyFont="1" applyBorder="1" applyAlignment="1">
      <alignment horizontal="right" vertical="center"/>
    </xf>
    <xf numFmtId="0" fontId="252" fillId="0" borderId="0" xfId="0" applyFont="1" applyFill="1" applyAlignment="1">
      <alignment horizontal="left" vertical="center"/>
    </xf>
    <xf numFmtId="0" fontId="236" fillId="0" borderId="0" xfId="0" applyFont="1" applyFill="1" applyAlignment="1">
      <alignment horizontal="left" vertical="center"/>
    </xf>
    <xf numFmtId="0" fontId="87" fillId="0" borderId="0" xfId="0" applyFont="1" applyFill="1" applyAlignment="1">
      <alignment horizontal="center" vertical="center"/>
    </xf>
    <xf numFmtId="0" fontId="253" fillId="0" borderId="0" xfId="0" applyFont="1" applyFill="1" applyAlignment="1">
      <alignment horizontal="center" vertical="center" wrapText="1"/>
    </xf>
    <xf numFmtId="173" fontId="253" fillId="0" borderId="0" xfId="0" applyNumberFormat="1" applyFont="1" applyFill="1" applyAlignment="1">
      <alignment horizontal="center" vertical="center" wrapText="1"/>
    </xf>
    <xf numFmtId="0" fontId="15" fillId="0" borderId="0" xfId="0" applyFont="1" applyFill="1"/>
    <xf numFmtId="0" fontId="238" fillId="0" borderId="0" xfId="0" applyFont="1" applyFill="1"/>
    <xf numFmtId="0" fontId="236" fillId="0" borderId="0" xfId="0" applyFont="1" applyFill="1" applyAlignment="1">
      <alignment vertical="center"/>
    </xf>
    <xf numFmtId="173" fontId="236" fillId="0" borderId="0" xfId="0" applyNumberFormat="1" applyFont="1" applyFill="1" applyAlignment="1">
      <alignment vertical="center"/>
    </xf>
    <xf numFmtId="3" fontId="236" fillId="0" borderId="0" xfId="0" applyNumberFormat="1" applyFont="1" applyFill="1" applyAlignment="1">
      <alignment vertical="center"/>
    </xf>
    <xf numFmtId="0" fontId="87" fillId="0" borderId="0" xfId="0" applyFont="1" applyFill="1" applyAlignment="1">
      <alignment vertical="center"/>
    </xf>
    <xf numFmtId="173" fontId="87" fillId="0" borderId="0" xfId="0" applyNumberFormat="1" applyFont="1" applyFill="1" applyAlignment="1">
      <alignment vertical="center"/>
    </xf>
    <xf numFmtId="0" fontId="254" fillId="0" borderId="0" xfId="0" applyFont="1" applyFill="1"/>
    <xf numFmtId="0" fontId="15" fillId="0" borderId="1" xfId="0" applyFont="1" applyFill="1" applyBorder="1" applyAlignment="1">
      <alignment horizontal="center" vertical="center" wrapText="1"/>
    </xf>
    <xf numFmtId="0" fontId="255" fillId="0" borderId="0" xfId="0" applyFont="1" applyFill="1"/>
    <xf numFmtId="0" fontId="256" fillId="0" borderId="0" xfId="0" applyFont="1" applyFill="1" applyAlignment="1">
      <alignment horizontal="center"/>
    </xf>
    <xf numFmtId="3" fontId="254" fillId="0" borderId="0" xfId="0" applyNumberFormat="1" applyFont="1" applyFill="1"/>
    <xf numFmtId="0" fontId="14" fillId="0" borderId="66" xfId="0" applyFont="1" applyFill="1" applyBorder="1" applyAlignment="1">
      <alignment horizontal="center" vertical="center" wrapText="1"/>
    </xf>
    <xf numFmtId="0" fontId="14" fillId="0" borderId="66" xfId="0" applyFont="1" applyFill="1" applyBorder="1" applyAlignment="1">
      <alignment vertical="center" wrapText="1"/>
    </xf>
    <xf numFmtId="175" fontId="14" fillId="0" borderId="66" xfId="1" applyNumberFormat="1" applyFont="1" applyFill="1" applyBorder="1" applyAlignment="1">
      <alignment horizontal="center" vertical="center" wrapText="1"/>
    </xf>
    <xf numFmtId="0" fontId="257" fillId="0" borderId="0" xfId="0" applyFont="1" applyFill="1"/>
    <xf numFmtId="3" fontId="15" fillId="71" borderId="66" xfId="0" applyNumberFormat="1" applyFont="1" applyFill="1" applyBorder="1" applyAlignment="1">
      <alignment vertical="center" wrapText="1"/>
    </xf>
    <xf numFmtId="3" fontId="15" fillId="71" borderId="66" xfId="0" applyNumberFormat="1" applyFont="1" applyFill="1" applyBorder="1" applyAlignment="1">
      <alignment horizontal="right" vertical="center" wrapText="1"/>
    </xf>
    <xf numFmtId="173" fontId="14" fillId="0" borderId="19" xfId="1" applyNumberFormat="1" applyFont="1" applyFill="1" applyBorder="1" applyAlignment="1">
      <alignment vertical="center" wrapText="1"/>
    </xf>
    <xf numFmtId="173" fontId="14" fillId="0" borderId="19" xfId="1" applyNumberFormat="1" applyFont="1" applyFill="1" applyBorder="1" applyAlignment="1">
      <alignment horizontal="right" vertical="center" wrapText="1"/>
    </xf>
    <xf numFmtId="175" fontId="14" fillId="0" borderId="19" xfId="1"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249" fillId="0" borderId="1" xfId="0" applyFont="1" applyFill="1" applyBorder="1" applyAlignment="1">
      <alignment horizontal="center" vertical="center" wrapText="1"/>
    </xf>
    <xf numFmtId="171" fontId="4" fillId="0" borderId="1" xfId="0" applyNumberFormat="1" applyFont="1" applyBorder="1" applyAlignment="1">
      <alignment horizontal="center" vertical="center"/>
    </xf>
    <xf numFmtId="0" fontId="4" fillId="0" borderId="1" xfId="0" applyFont="1" applyBorder="1" applyAlignment="1">
      <alignment horizontal="center" vertical="center"/>
    </xf>
    <xf numFmtId="171" fontId="4" fillId="0" borderId="3" xfId="0" applyNumberFormat="1" applyFont="1" applyBorder="1" applyAlignment="1">
      <alignment horizontal="center" vertical="center" wrapText="1"/>
    </xf>
    <xf numFmtId="171" fontId="4" fillId="0" borderId="4" xfId="0" applyNumberFormat="1" applyFont="1" applyBorder="1" applyAlignment="1">
      <alignment horizontal="center" vertical="center" wrapText="1"/>
    </xf>
    <xf numFmtId="171" fontId="4" fillId="0" borderId="5"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171" fontId="4" fillId="0" borderId="3" xfId="0" applyNumberFormat="1" applyFont="1" applyBorder="1" applyAlignment="1">
      <alignment horizontal="center" vertical="center"/>
    </xf>
    <xf numFmtId="171" fontId="4" fillId="0" borderId="4" xfId="0" applyNumberFormat="1" applyFont="1" applyBorder="1" applyAlignment="1">
      <alignment horizontal="center" vertical="center"/>
    </xf>
    <xf numFmtId="171" fontId="4" fillId="0" borderId="5" xfId="0" applyNumberFormat="1" applyFont="1" applyBorder="1" applyAlignment="1">
      <alignment horizontal="center" vertical="center"/>
    </xf>
    <xf numFmtId="0" fontId="225" fillId="0" borderId="0" xfId="0" applyFont="1" applyAlignment="1">
      <alignment horizontal="center" vertical="center"/>
    </xf>
    <xf numFmtId="0" fontId="227" fillId="0" borderId="3" xfId="0" applyFont="1" applyBorder="1" applyAlignment="1">
      <alignment horizontal="center" vertical="center" wrapText="1"/>
    </xf>
    <xf numFmtId="0" fontId="227" fillId="0" borderId="4" xfId="0" applyFont="1" applyBorder="1" applyAlignment="1">
      <alignment horizontal="center" vertical="center" wrapText="1"/>
    </xf>
    <xf numFmtId="0" fontId="227" fillId="0" borderId="18" xfId="0" applyFont="1" applyBorder="1" applyAlignment="1">
      <alignment horizontal="center" vertical="center" wrapText="1"/>
    </xf>
    <xf numFmtId="0" fontId="117" fillId="0" borderId="0" xfId="0" applyFont="1" applyFill="1" applyAlignment="1">
      <alignment horizontal="center"/>
    </xf>
    <xf numFmtId="0" fontId="21" fillId="0" borderId="0" xfId="0" applyFont="1" applyFill="1" applyAlignment="1">
      <alignment horizontal="left" vertical="center" wrapText="1"/>
    </xf>
    <xf numFmtId="0" fontId="15" fillId="0" borderId="0" xfId="0" applyFont="1" applyFill="1" applyAlignment="1">
      <alignment horizontal="center"/>
    </xf>
    <xf numFmtId="0" fontId="221" fillId="0" borderId="0" xfId="0" applyFont="1" applyFill="1" applyAlignment="1">
      <alignment horizontal="center"/>
    </xf>
    <xf numFmtId="0" fontId="221" fillId="0" borderId="9" xfId="0" applyFont="1" applyFill="1" applyBorder="1" applyAlignment="1">
      <alignment horizontal="right"/>
    </xf>
    <xf numFmtId="0" fontId="15" fillId="0" borderId="1" xfId="0" applyFont="1" applyFill="1" applyBorder="1" applyAlignment="1">
      <alignment horizontal="center" vertical="center" wrapText="1"/>
    </xf>
    <xf numFmtId="0" fontId="220" fillId="0" borderId="0" xfId="0" applyFont="1" applyAlignment="1">
      <alignment horizontal="center" vertical="center"/>
    </xf>
    <xf numFmtId="0" fontId="8" fillId="0" borderId="0" xfId="0" applyFont="1" applyAlignment="1">
      <alignment horizontal="left" vertical="center" wrapText="1"/>
    </xf>
    <xf numFmtId="0" fontId="8" fillId="0" borderId="9" xfId="0" applyFont="1" applyBorder="1" applyAlignment="1">
      <alignment horizontal="right" vertical="center"/>
    </xf>
    <xf numFmtId="0" fontId="6" fillId="0" borderId="0" xfId="0" applyFont="1" applyAlignment="1">
      <alignment horizontal="center" vertical="center" wrapText="1"/>
    </xf>
    <xf numFmtId="0" fontId="222" fillId="0" borderId="0" xfId="0" applyFont="1" applyAlignment="1">
      <alignment horizontal="center" vertical="center" wrapText="1"/>
    </xf>
    <xf numFmtId="0" fontId="6" fillId="0" borderId="1" xfId="0" applyFont="1" applyBorder="1" applyAlignment="1">
      <alignment horizontal="center" vertical="center" wrapText="1"/>
    </xf>
    <xf numFmtId="0" fontId="247" fillId="0" borderId="0" xfId="0" applyFont="1" applyFill="1" applyAlignment="1">
      <alignment horizontal="center" vertical="center"/>
    </xf>
    <xf numFmtId="0" fontId="249" fillId="0" borderId="0" xfId="0" applyFont="1" applyFill="1" applyAlignment="1">
      <alignment horizontal="center" vertical="center" wrapText="1"/>
    </xf>
    <xf numFmtId="0" fontId="251" fillId="0" borderId="0" xfId="0" applyFont="1" applyFill="1" applyBorder="1" applyAlignment="1">
      <alignment horizontal="center" vertical="center" wrapText="1"/>
    </xf>
    <xf numFmtId="0" fontId="250" fillId="0" borderId="0" xfId="0" applyFont="1" applyFill="1" applyAlignment="1">
      <alignment horizontal="left" vertical="center" wrapText="1"/>
    </xf>
    <xf numFmtId="0" fontId="221" fillId="0" borderId="0" xfId="0" applyFont="1" applyFill="1" applyAlignment="1">
      <alignment horizontal="left" vertical="center" wrapText="1"/>
    </xf>
    <xf numFmtId="0" fontId="251" fillId="0" borderId="0" xfId="0" applyFont="1" applyFill="1" applyAlignment="1">
      <alignment vertical="center" wrapText="1"/>
    </xf>
    <xf numFmtId="0" fontId="221" fillId="0" borderId="0" xfId="0" applyFont="1" applyFill="1" applyAlignment="1">
      <alignment horizontal="center" vertical="center"/>
    </xf>
    <xf numFmtId="0" fontId="221" fillId="0" borderId="9" xfId="0" applyFont="1" applyBorder="1" applyAlignment="1">
      <alignment horizontal="right" vertical="center"/>
    </xf>
    <xf numFmtId="0" fontId="250" fillId="0" borderId="0" xfId="0" applyFont="1" applyFill="1" applyAlignment="1">
      <alignment vertical="center" wrapText="1"/>
    </xf>
    <xf numFmtId="0" fontId="249" fillId="0" borderId="1" xfId="0" applyFont="1" applyFill="1" applyBorder="1" applyAlignment="1">
      <alignment horizontal="center" vertical="center" wrapText="1"/>
    </xf>
    <xf numFmtId="0" fontId="117" fillId="0" borderId="0" xfId="0" applyFont="1" applyFill="1" applyAlignment="1">
      <alignment horizontal="center" vertical="center"/>
    </xf>
    <xf numFmtId="0" fontId="246" fillId="0" borderId="0" xfId="0" applyFont="1" applyFill="1" applyAlignment="1">
      <alignment horizontal="left" vertical="center" wrapText="1"/>
    </xf>
    <xf numFmtId="0" fontId="15" fillId="0" borderId="0" xfId="0" applyFont="1" applyFill="1" applyAlignment="1">
      <alignment horizontal="center" vertical="center" wrapText="1"/>
    </xf>
    <xf numFmtId="0" fontId="221" fillId="0" borderId="9" xfId="0" applyFont="1" applyBorder="1" applyAlignment="1">
      <alignment horizontal="right"/>
    </xf>
    <xf numFmtId="0" fontId="117" fillId="0" borderId="1" xfId="0" applyFont="1" applyFill="1" applyBorder="1" applyAlignment="1">
      <alignment horizontal="center" vertical="center" wrapText="1"/>
    </xf>
    <xf numFmtId="0" fontId="237" fillId="0" borderId="1" xfId="0" applyFont="1" applyFill="1" applyBorder="1" applyAlignment="1">
      <alignment horizontal="center" vertical="center" wrapText="1"/>
    </xf>
    <xf numFmtId="0" fontId="117" fillId="0" borderId="14" xfId="0" applyFont="1" applyFill="1" applyBorder="1" applyAlignment="1">
      <alignment horizontal="center" vertical="center" wrapText="1"/>
    </xf>
    <xf numFmtId="0" fontId="117" fillId="0" borderId="16" xfId="0" applyFont="1" applyFill="1" applyBorder="1" applyAlignment="1">
      <alignment horizontal="center" vertical="center" wrapText="1"/>
    </xf>
    <xf numFmtId="0" fontId="117" fillId="0" borderId="0" xfId="0" applyFont="1" applyFill="1" applyAlignment="1">
      <alignment horizontal="left"/>
    </xf>
    <xf numFmtId="0" fontId="252" fillId="0" borderId="0" xfId="0" applyFont="1" applyFill="1" applyAlignment="1">
      <alignment horizontal="center" vertical="center" wrapText="1"/>
    </xf>
    <xf numFmtId="0" fontId="253" fillId="0" borderId="0" xfId="0" applyFont="1" applyFill="1" applyAlignment="1">
      <alignment horizontal="center" vertical="center" wrapText="1"/>
    </xf>
    <xf numFmtId="0" fontId="229" fillId="0" borderId="9" xfId="0" applyFont="1" applyBorder="1" applyAlignment="1">
      <alignment horizontal="right" vertical="center"/>
    </xf>
    <xf numFmtId="0" fontId="117" fillId="0" borderId="15" xfId="0" applyFont="1" applyFill="1" applyBorder="1" applyAlignment="1">
      <alignment horizontal="center" vertical="center" wrapText="1"/>
    </xf>
    <xf numFmtId="0" fontId="244" fillId="0" borderId="14" xfId="0" applyFont="1" applyFill="1" applyBorder="1" applyAlignment="1">
      <alignment horizontal="center" vertical="center" wrapText="1"/>
    </xf>
    <xf numFmtId="0" fontId="244" fillId="0" borderId="16" xfId="0" applyFont="1" applyFill="1" applyBorder="1" applyAlignment="1">
      <alignment horizontal="center" vertical="center" wrapText="1"/>
    </xf>
    <xf numFmtId="0" fontId="15" fillId="0" borderId="0" xfId="0" applyFont="1" applyFill="1" applyAlignment="1">
      <alignment horizontal="center" vertical="center"/>
    </xf>
    <xf numFmtId="0" fontId="14" fillId="0" borderId="1" xfId="4" applyFont="1" applyFill="1" applyBorder="1" applyAlignment="1">
      <alignment horizontal="center" vertical="center" wrapText="1"/>
    </xf>
    <xf numFmtId="173" fontId="14" fillId="0" borderId="1" xfId="3" applyNumberFormat="1" applyFont="1" applyFill="1" applyBorder="1" applyAlignment="1">
      <alignment horizontal="center" vertical="center" wrapText="1"/>
    </xf>
    <xf numFmtId="0" fontId="14" fillId="0" borderId="3" xfId="4" applyFont="1" applyFill="1" applyBorder="1" applyAlignment="1">
      <alignment horizontal="center" vertical="center" wrapText="1"/>
    </xf>
    <xf numFmtId="0" fontId="14" fillId="0" borderId="4" xfId="4" applyFont="1" applyFill="1" applyBorder="1" applyAlignment="1">
      <alignment horizontal="center" vertical="center" wrapText="1"/>
    </xf>
    <xf numFmtId="0" fontId="14" fillId="0" borderId="5" xfId="4" applyFont="1" applyFill="1" applyBorder="1" applyAlignment="1">
      <alignment horizontal="center" vertical="center" wrapText="1"/>
    </xf>
    <xf numFmtId="0" fontId="14" fillId="0" borderId="14" xfId="6" applyFont="1" applyFill="1" applyBorder="1" applyAlignment="1">
      <alignment horizontal="center"/>
    </xf>
    <xf numFmtId="0" fontId="14" fillId="0" borderId="15" xfId="6" applyFont="1" applyFill="1" applyBorder="1" applyAlignment="1">
      <alignment horizontal="center"/>
    </xf>
    <xf numFmtId="0" fontId="14" fillId="0" borderId="16" xfId="6" applyFont="1" applyFill="1" applyBorder="1" applyAlignment="1">
      <alignment horizontal="center"/>
    </xf>
    <xf numFmtId="0" fontId="14" fillId="0" borderId="1" xfId="4" applyFont="1" applyFill="1" applyBorder="1" applyAlignment="1">
      <alignment horizontal="center" vertical="center"/>
    </xf>
    <xf numFmtId="0" fontId="14" fillId="0" borderId="11" xfId="4" applyFont="1" applyFill="1" applyBorder="1" applyAlignment="1">
      <alignment horizontal="center" vertical="center" wrapText="1"/>
    </xf>
    <xf numFmtId="0" fontId="14" fillId="0" borderId="6" xfId="4" applyFont="1" applyFill="1" applyBorder="1" applyAlignment="1">
      <alignment horizontal="center" vertical="center" wrapText="1"/>
    </xf>
    <xf numFmtId="0" fontId="14" fillId="0" borderId="7" xfId="4" applyFont="1" applyFill="1" applyBorder="1" applyAlignment="1">
      <alignment horizontal="center" vertical="center" wrapText="1"/>
    </xf>
    <xf numFmtId="0" fontId="14" fillId="0" borderId="2" xfId="4" applyFont="1" applyFill="1" applyBorder="1" applyAlignment="1">
      <alignment horizontal="center" vertical="center" wrapText="1"/>
    </xf>
    <xf numFmtId="0" fontId="14" fillId="0" borderId="0" xfId="4" applyFont="1" applyFill="1" applyBorder="1" applyAlignment="1">
      <alignment horizontal="center" vertical="center" wrapText="1"/>
    </xf>
    <xf numFmtId="0" fontId="14" fillId="0" borderId="8" xfId="4" applyFont="1" applyFill="1" applyBorder="1" applyAlignment="1">
      <alignment horizontal="center" vertical="center" wrapText="1"/>
    </xf>
    <xf numFmtId="0" fontId="14" fillId="0" borderId="14" xfId="4" applyFont="1" applyFill="1" applyBorder="1" applyAlignment="1">
      <alignment horizontal="center" vertical="center"/>
    </xf>
    <xf numFmtId="0" fontId="14" fillId="0" borderId="15" xfId="4" applyFont="1" applyFill="1" applyBorder="1" applyAlignment="1">
      <alignment horizontal="center" vertical="center"/>
    </xf>
    <xf numFmtId="0" fontId="14" fillId="0" borderId="16" xfId="4" applyFont="1" applyFill="1" applyBorder="1" applyAlignment="1">
      <alignment horizontal="center" vertical="center"/>
    </xf>
    <xf numFmtId="49" fontId="14" fillId="0" borderId="1" xfId="4" applyNumberFormat="1" applyFont="1" applyFill="1" applyBorder="1" applyAlignment="1">
      <alignment horizontal="center" vertical="center"/>
    </xf>
    <xf numFmtId="0" fontId="14" fillId="0" borderId="1" xfId="6" applyFont="1" applyFill="1" applyBorder="1" applyAlignment="1">
      <alignment horizontal="center"/>
    </xf>
    <xf numFmtId="0" fontId="6" fillId="0" borderId="1" xfId="0" applyFont="1" applyFill="1" applyBorder="1" applyAlignment="1">
      <alignment horizontal="center" vertical="center" wrapText="1"/>
    </xf>
    <xf numFmtId="0" fontId="220" fillId="0" borderId="0" xfId="0" applyFont="1" applyFill="1" applyAlignment="1">
      <alignment horizontal="center"/>
    </xf>
    <xf numFmtId="0" fontId="6" fillId="0" borderId="0" xfId="0" applyFont="1" applyFill="1" applyAlignment="1">
      <alignment horizontal="center" vertical="center" wrapText="1"/>
    </xf>
    <xf numFmtId="0" fontId="222" fillId="0" borderId="0" xfId="0" applyFont="1" applyFill="1" applyAlignment="1">
      <alignment horizontal="center" vertical="center"/>
    </xf>
    <xf numFmtId="0" fontId="240" fillId="0" borderId="0"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Alignment="1">
      <alignment horizontal="center" wrapText="1"/>
    </xf>
    <xf numFmtId="0" fontId="8" fillId="0" borderId="0" xfId="0" applyFont="1" applyFill="1" applyAlignment="1">
      <alignment horizontal="center"/>
    </xf>
    <xf numFmtId="0" fontId="240" fillId="0" borderId="9" xfId="0" applyFont="1" applyFill="1" applyBorder="1" applyAlignment="1">
      <alignment horizontal="center"/>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219" fillId="0" borderId="1" xfId="0" applyFont="1" applyFill="1" applyBorder="1" applyAlignment="1">
      <alignment horizontal="center" vertical="center" wrapText="1"/>
    </xf>
    <xf numFmtId="0" fontId="21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xf>
    <xf numFmtId="0" fontId="8" fillId="0" borderId="0" xfId="0" applyFont="1" applyFill="1" applyAlignment="1">
      <alignment horizontal="center" vertical="center"/>
    </xf>
    <xf numFmtId="0" fontId="117" fillId="0" borderId="1" xfId="0" applyFont="1" applyFill="1" applyBorder="1" applyAlignment="1">
      <alignment horizontal="center" vertical="center"/>
    </xf>
    <xf numFmtId="0" fontId="220" fillId="0" borderId="1" xfId="0" applyFont="1" applyFill="1" applyBorder="1" applyAlignment="1">
      <alignment horizontal="center" vertical="center"/>
    </xf>
    <xf numFmtId="0" fontId="15" fillId="0" borderId="1" xfId="1487" applyFont="1" applyBorder="1" applyAlignment="1">
      <alignment horizontal="center" vertical="center" wrapText="1"/>
    </xf>
    <xf numFmtId="0" fontId="236" fillId="0" borderId="0" xfId="1487" applyFont="1" applyAlignment="1">
      <alignment horizontal="center" vertical="center"/>
    </xf>
    <xf numFmtId="0" fontId="253" fillId="0" borderId="9" xfId="1447" applyFont="1" applyBorder="1" applyAlignment="1">
      <alignment horizontal="center"/>
    </xf>
    <xf numFmtId="0" fontId="225" fillId="0" borderId="0" xfId="1487" applyFont="1" applyAlignment="1">
      <alignment horizontal="center" vertical="center" wrapText="1"/>
    </xf>
    <xf numFmtId="0" fontId="233" fillId="0" borderId="0" xfId="0" applyFont="1" applyAlignment="1">
      <alignment horizontal="center"/>
    </xf>
    <xf numFmtId="0" fontId="226" fillId="0" borderId="0" xfId="1487" applyFont="1" applyAlignment="1">
      <alignment horizontal="left" vertical="center" wrapText="1"/>
    </xf>
    <xf numFmtId="0" fontId="15" fillId="0" borderId="1" xfId="1487" applyFont="1" applyBorder="1" applyAlignment="1">
      <alignment horizontal="center" vertical="center"/>
    </xf>
    <xf numFmtId="0" fontId="229" fillId="0" borderId="9" xfId="0" applyFont="1" applyBorder="1" applyAlignment="1">
      <alignment horizontal="center" vertical="center"/>
    </xf>
    <xf numFmtId="0" fontId="228" fillId="0" borderId="0" xfId="0" applyFont="1" applyAlignment="1">
      <alignment horizontal="right" vertical="center"/>
    </xf>
    <xf numFmtId="0" fontId="228" fillId="0" borderId="0" xfId="0" applyFont="1" applyAlignment="1">
      <alignment horizontal="center" vertical="center"/>
    </xf>
    <xf numFmtId="0" fontId="229" fillId="0" borderId="0" xfId="0" applyFont="1" applyAlignment="1">
      <alignment horizontal="center" vertical="center" wrapText="1"/>
    </xf>
    <xf numFmtId="0" fontId="245" fillId="0" borderId="0" xfId="0" applyFont="1" applyAlignment="1">
      <alignment horizontal="left" vertical="center"/>
    </xf>
  </cellXfs>
  <cellStyles count="2269">
    <cellStyle name="_x0001_" xfId="10" xr:uid="{00000000-0005-0000-0000-000000000000}"/>
    <cellStyle name="          _x000d__x000a_shell=progman.exe_x000d__x000a_m" xfId="11" xr:uid="{00000000-0005-0000-0000-000001000000}"/>
    <cellStyle name="#,##0" xfId="12" xr:uid="{00000000-0005-0000-0000-000002000000}"/>
    <cellStyle name="#,##0 2" xfId="13" xr:uid="{00000000-0005-0000-0000-000003000000}"/>
    <cellStyle name="#,##0 2 2" xfId="14" xr:uid="{00000000-0005-0000-0000-000004000000}"/>
    <cellStyle name="#,##0 3" xfId="15" xr:uid="{00000000-0005-0000-0000-000005000000}"/>
    <cellStyle name="#,##0 3 2" xfId="16" xr:uid="{00000000-0005-0000-0000-000006000000}"/>
    <cellStyle name="#,##0 4" xfId="17" xr:uid="{00000000-0005-0000-0000-000007000000}"/>
    <cellStyle name="." xfId="18" xr:uid="{00000000-0005-0000-0000-000008000000}"/>
    <cellStyle name=". 2" xfId="19" xr:uid="{00000000-0005-0000-0000-000009000000}"/>
    <cellStyle name="._Book1" xfId="20" xr:uid="{00000000-0005-0000-0000-00000A000000}"/>
    <cellStyle name="._VBPL kiểm toán Đầu tư XDCB 2010" xfId="21" xr:uid="{00000000-0005-0000-0000-00000B000000}"/>
    <cellStyle name="._VBPL kiểm toán Đầu tư XDCB 2010 2" xfId="22" xr:uid="{00000000-0005-0000-0000-00000C000000}"/>
    <cellStyle name=".d©y" xfId="23" xr:uid="{00000000-0005-0000-0000-00000D000000}"/>
    <cellStyle name="??" xfId="24" xr:uid="{00000000-0005-0000-0000-00000E000000}"/>
    <cellStyle name="?? [ - ??1" xfId="25" xr:uid="{00000000-0005-0000-0000-00000F000000}"/>
    <cellStyle name="?? [ - ??2" xfId="26" xr:uid="{00000000-0005-0000-0000-000010000000}"/>
    <cellStyle name="?? [ - ??3" xfId="27" xr:uid="{00000000-0005-0000-0000-000011000000}"/>
    <cellStyle name="?? [ - ??4" xfId="28" xr:uid="{00000000-0005-0000-0000-000012000000}"/>
    <cellStyle name="?? [ - ??5" xfId="29" xr:uid="{00000000-0005-0000-0000-000013000000}"/>
    <cellStyle name="?? [ - ??6" xfId="30" xr:uid="{00000000-0005-0000-0000-000014000000}"/>
    <cellStyle name="?? [ - ??7" xfId="31" xr:uid="{00000000-0005-0000-0000-000015000000}"/>
    <cellStyle name="?? [ - ??8" xfId="32" xr:uid="{00000000-0005-0000-0000-000016000000}"/>
    <cellStyle name="?? [0.00]_        " xfId="33" xr:uid="{00000000-0005-0000-0000-000017000000}"/>
    <cellStyle name="?? [0]" xfId="34" xr:uid="{00000000-0005-0000-0000-000018000000}"/>
    <cellStyle name="?_x001d_??%U©÷u&amp;H©÷9_x0008_? s_x000a__x0007__x0001__x0001_" xfId="35" xr:uid="{00000000-0005-0000-0000-000019000000}"/>
    <cellStyle name="?_x001d_??%U©÷u&amp;H©÷9_x0008_?_x0009_s_x000a__x0007__x0001__x0001_" xfId="36" xr:uid="{00000000-0005-0000-0000-00001A000000}"/>
    <cellStyle name="???? [0.00]_      " xfId="37" xr:uid="{00000000-0005-0000-0000-00001B000000}"/>
    <cellStyle name="??????" xfId="38" xr:uid="{00000000-0005-0000-0000-00001C000000}"/>
    <cellStyle name="??????????????????? [0]_FTC_OFFER" xfId="39" xr:uid="{00000000-0005-0000-0000-00001D000000}"/>
    <cellStyle name="???????????????????_FTC_OFFER" xfId="40" xr:uid="{00000000-0005-0000-0000-00001E000000}"/>
    <cellStyle name="????_      " xfId="41" xr:uid="{00000000-0005-0000-0000-00001F000000}"/>
    <cellStyle name="???[0]_?? DI" xfId="42" xr:uid="{00000000-0005-0000-0000-000020000000}"/>
    <cellStyle name="???_?? DI" xfId="43" xr:uid="{00000000-0005-0000-0000-000021000000}"/>
    <cellStyle name="??[0]_BRE" xfId="44" xr:uid="{00000000-0005-0000-0000-000022000000}"/>
    <cellStyle name="??_      " xfId="45" xr:uid="{00000000-0005-0000-0000-000023000000}"/>
    <cellStyle name="??A? [0]_laroux_1_¢¬???¢â? " xfId="46" xr:uid="{00000000-0005-0000-0000-000024000000}"/>
    <cellStyle name="??A?_laroux_1_¢¬???¢â? " xfId="47" xr:uid="{00000000-0005-0000-0000-000025000000}"/>
    <cellStyle name="?¡±¢¥?_?¨ù??¢´¢¥_¢¬???¢â? " xfId="48" xr:uid="{00000000-0005-0000-0000-000026000000}"/>
    <cellStyle name="?ðÇ%U?&amp;H?_x0008_?s_x000a__x0007__x0001__x0001_" xfId="49" xr:uid="{00000000-0005-0000-0000-000027000000}"/>
    <cellStyle name="[0]_Chi phÝ kh¸c_V" xfId="50" xr:uid="{00000000-0005-0000-0000-000028000000}"/>
    <cellStyle name="_1 TONG HOP - CA NA" xfId="51" xr:uid="{00000000-0005-0000-0000-000029000000}"/>
    <cellStyle name="_130307 So sanh thuc hien 2012 - du toan 2012 moi (pan khac)" xfId="52" xr:uid="{00000000-0005-0000-0000-00002A000000}"/>
    <cellStyle name="_130313 Mau  bieu bao cao nguon luc cua dia phuong sua" xfId="53" xr:uid="{00000000-0005-0000-0000-00002B000000}"/>
    <cellStyle name="_130818 Tong hop Danh gia thu 2013" xfId="54" xr:uid="{00000000-0005-0000-0000-00002C000000}"/>
    <cellStyle name="_130818 Tong hop Danh gia thu 2013_140921 bu giam thu ND 209" xfId="55" xr:uid="{00000000-0005-0000-0000-00002D000000}"/>
    <cellStyle name="_130818 Tong hop Danh gia thu 2013_140921 bu giam thu ND 209_Phu luc so 5 - sua ngay 04-01" xfId="56" xr:uid="{00000000-0005-0000-0000-00002E000000}"/>
    <cellStyle name="_Bang Chi tieu (2)" xfId="57" xr:uid="{00000000-0005-0000-0000-00002F000000}"/>
    <cellStyle name="_BAO GIA NGAY 24-10-08 (co dam)" xfId="58" xr:uid="{00000000-0005-0000-0000-000030000000}"/>
    <cellStyle name="_Bao gia TB Kon Dao 2010" xfId="59" xr:uid="{00000000-0005-0000-0000-000031000000}"/>
    <cellStyle name="_Bieu tong hop nhu cau ung_Mien Trung" xfId="61" xr:uid="{00000000-0005-0000-0000-000033000000}"/>
    <cellStyle name="_Bieu ung von 2011 NSNN - TPCP vung DBSClong (10-6-2010)" xfId="62" xr:uid="{00000000-0005-0000-0000-000034000000}"/>
    <cellStyle name="_Biểu KH 5 năm gửi UB sửa biểu VHXH" xfId="60" xr:uid="{00000000-0005-0000-0000-000032000000}"/>
    <cellStyle name="_Book1" xfId="63" xr:uid="{00000000-0005-0000-0000-000035000000}"/>
    <cellStyle name="_Book1_1" xfId="64" xr:uid="{00000000-0005-0000-0000-000036000000}"/>
    <cellStyle name="_Book1_2" xfId="65" xr:uid="{00000000-0005-0000-0000-000037000000}"/>
    <cellStyle name="_Book1_BC-QT-WB-dthao" xfId="66" xr:uid="{00000000-0005-0000-0000-000038000000}"/>
    <cellStyle name="_Book1_Book1" xfId="67" xr:uid="{00000000-0005-0000-0000-000039000000}"/>
    <cellStyle name="_Book1_DT truong thinh phu" xfId="68" xr:uid="{00000000-0005-0000-0000-00003A000000}"/>
    <cellStyle name="_Book1_Kiem Tra Don Gia" xfId="71" xr:uid="{00000000-0005-0000-0000-00003D000000}"/>
    <cellStyle name="_Book1_Kh ql62 (2010) 11-09" xfId="69" xr:uid="{00000000-0005-0000-0000-00003B000000}"/>
    <cellStyle name="_Book1_khoiluongbdacdoa" xfId="70" xr:uid="{00000000-0005-0000-0000-00003C000000}"/>
    <cellStyle name="_Book1_TH KHAI TOAN THU THIEM cac tuyen TT noi" xfId="72" xr:uid="{00000000-0005-0000-0000-00003E000000}"/>
    <cellStyle name="_C.cong+B.luong-Sanluong" xfId="73" xr:uid="{00000000-0005-0000-0000-00003F000000}"/>
    <cellStyle name="_DG 2012-DT2013 - Theo sac thue -sua" xfId="74" xr:uid="{00000000-0005-0000-0000-000040000000}"/>
    <cellStyle name="_DG 2012-DT2013 - Theo sac thue -sua_27-8Tong hop PA uoc 2012-DT 2013 -PA 420.000 ty-490.000 ty chuyen doi" xfId="75" xr:uid="{00000000-0005-0000-0000-000041000000}"/>
    <cellStyle name="_DO-D1500-KHONG CO TRONG DT" xfId="76" xr:uid="{00000000-0005-0000-0000-000042000000}"/>
    <cellStyle name="_DT truong thinh phu" xfId="77" xr:uid="{00000000-0005-0000-0000-000043000000}"/>
    <cellStyle name="_DTDT BL-DL" xfId="78" xr:uid="{00000000-0005-0000-0000-000044000000}"/>
    <cellStyle name="_DTDT BL-DL 2" xfId="79" xr:uid="{00000000-0005-0000-0000-000045000000}"/>
    <cellStyle name="_du toan lan 3" xfId="80" xr:uid="{00000000-0005-0000-0000-000046000000}"/>
    <cellStyle name="_Duyet TK thay đôi" xfId="81" xr:uid="{00000000-0005-0000-0000-000047000000}"/>
    <cellStyle name="_GOITHAUSO2" xfId="82" xr:uid="{00000000-0005-0000-0000-000048000000}"/>
    <cellStyle name="_GOITHAUSO3" xfId="83" xr:uid="{00000000-0005-0000-0000-000049000000}"/>
    <cellStyle name="_GOITHAUSO4" xfId="84" xr:uid="{00000000-0005-0000-0000-00004A000000}"/>
    <cellStyle name="_GTXD GOI 2" xfId="85" xr:uid="{00000000-0005-0000-0000-00004B000000}"/>
    <cellStyle name="_GTXD GOI1" xfId="86" xr:uid="{00000000-0005-0000-0000-00004C000000}"/>
    <cellStyle name="_GTXD GOI3" xfId="87" xr:uid="{00000000-0005-0000-0000-00004D000000}"/>
    <cellStyle name="_HaHoa_TDT_DienCSang" xfId="88" xr:uid="{00000000-0005-0000-0000-00004E000000}"/>
    <cellStyle name="_HaHoa19-5-07" xfId="89" xr:uid="{00000000-0005-0000-0000-00004F000000}"/>
    <cellStyle name="_Huong CHI tieu Nhiem vu CTMTQG 2014(1)" xfId="90" xr:uid="{00000000-0005-0000-0000-000050000000}"/>
    <cellStyle name="_Kiem Tra Don Gia" xfId="94" xr:uid="{00000000-0005-0000-0000-000054000000}"/>
    <cellStyle name="_KT (2)" xfId="95" xr:uid="{00000000-0005-0000-0000-000055000000}"/>
    <cellStyle name="_KT (2)_1" xfId="96" xr:uid="{00000000-0005-0000-0000-000056000000}"/>
    <cellStyle name="_KT (2)_1_Book1" xfId="97" xr:uid="{00000000-0005-0000-0000-000057000000}"/>
    <cellStyle name="_KT (2)_1_Lora-tungchau" xfId="98" xr:uid="{00000000-0005-0000-0000-000058000000}"/>
    <cellStyle name="_KT (2)_1_Qt-HT3PQ1(CauKho)" xfId="99" xr:uid="{00000000-0005-0000-0000-000059000000}"/>
    <cellStyle name="_KT (2)_1_Qt-HT3PQ1(CauKho)_Book1" xfId="100" xr:uid="{00000000-0005-0000-0000-00005A000000}"/>
    <cellStyle name="_KT (2)_1_Qt-HT3PQ1(CauKho)_Don gia quy 3 nam 2003 - Ban Dien Luc" xfId="101" xr:uid="{00000000-0005-0000-0000-00005B000000}"/>
    <cellStyle name="_KT (2)_1_Qt-HT3PQ1(CauKho)_Kiem Tra Don Gia" xfId="102" xr:uid="{00000000-0005-0000-0000-00005C000000}"/>
    <cellStyle name="_KT (2)_1_Qt-HT3PQ1(CauKho)_NC-VL2-2003" xfId="103" xr:uid="{00000000-0005-0000-0000-00005D000000}"/>
    <cellStyle name="_KT (2)_1_Qt-HT3PQ1(CauKho)_NC-VL2-2003_1" xfId="104" xr:uid="{00000000-0005-0000-0000-00005E000000}"/>
    <cellStyle name="_KT (2)_1_Qt-HT3PQ1(CauKho)_XL4Test5" xfId="105" xr:uid="{00000000-0005-0000-0000-00005F000000}"/>
    <cellStyle name="_KT (2)_1_quy luong con lai nam 2004" xfId="106" xr:uid="{00000000-0005-0000-0000-000060000000}"/>
    <cellStyle name="_KT (2)_1_" xfId="107" xr:uid="{00000000-0005-0000-0000-000061000000}"/>
    <cellStyle name="_KT (2)_2" xfId="108" xr:uid="{00000000-0005-0000-0000-000062000000}"/>
    <cellStyle name="_KT (2)_2_Book1" xfId="109" xr:uid="{00000000-0005-0000-0000-000063000000}"/>
    <cellStyle name="_KT (2)_2_DTDuong dong tien -sua tham tra 2009 - luong 650" xfId="110" xr:uid="{00000000-0005-0000-0000-000064000000}"/>
    <cellStyle name="_KT (2)_2_quy luong con lai nam 2004" xfId="111" xr:uid="{00000000-0005-0000-0000-000065000000}"/>
    <cellStyle name="_KT (2)_2_TG-TH" xfId="112" xr:uid="{00000000-0005-0000-0000-000066000000}"/>
    <cellStyle name="_KT (2)_2_TG-TH_BANG TONG HOP TINH HINH THANH QUYET TOAN (MOI I)" xfId="113" xr:uid="{00000000-0005-0000-0000-000067000000}"/>
    <cellStyle name="_KT (2)_2_TG-TH_BAO CAO KLCT PT2000" xfId="114" xr:uid="{00000000-0005-0000-0000-000068000000}"/>
    <cellStyle name="_KT (2)_2_TG-TH_BAO CAO PT2000" xfId="115" xr:uid="{00000000-0005-0000-0000-000069000000}"/>
    <cellStyle name="_KT (2)_2_TG-TH_BAO CAO PT2000_Book1" xfId="116" xr:uid="{00000000-0005-0000-0000-00006A000000}"/>
    <cellStyle name="_KT (2)_2_TG-TH_Bao cao XDCB 2001 - T11 KH dieu chinh 20-11-THAI" xfId="117" xr:uid="{00000000-0005-0000-0000-00006B000000}"/>
    <cellStyle name="_KT (2)_2_TG-TH_BAO GIA NGAY 24-10-08 (co dam)" xfId="118" xr:uid="{00000000-0005-0000-0000-00006C000000}"/>
    <cellStyle name="_KT (2)_2_TG-TH_Biểu KH 5 năm gửi UB sửa biểu VHXH" xfId="119" xr:uid="{00000000-0005-0000-0000-00006D000000}"/>
    <cellStyle name="_KT (2)_2_TG-TH_Book1" xfId="120" xr:uid="{00000000-0005-0000-0000-00006E000000}"/>
    <cellStyle name="_KT (2)_2_TG-TH_Book1_1" xfId="121" xr:uid="{00000000-0005-0000-0000-00006F000000}"/>
    <cellStyle name="_KT (2)_2_TG-TH_Book1_1_Book1" xfId="122" xr:uid="{00000000-0005-0000-0000-000070000000}"/>
    <cellStyle name="_KT (2)_2_TG-TH_Book1_1_DanhMucDonGiaVTTB_Dien_TAM" xfId="123" xr:uid="{00000000-0005-0000-0000-000071000000}"/>
    <cellStyle name="_KT (2)_2_TG-TH_Book1_1_khoiluongbdacdoa" xfId="124" xr:uid="{00000000-0005-0000-0000-000072000000}"/>
    <cellStyle name="_KT (2)_2_TG-TH_Book1_2" xfId="125" xr:uid="{00000000-0005-0000-0000-000073000000}"/>
    <cellStyle name="_KT (2)_2_TG-TH_Book1_2_Book1" xfId="126" xr:uid="{00000000-0005-0000-0000-000074000000}"/>
    <cellStyle name="_KT (2)_2_TG-TH_Book1_3" xfId="127" xr:uid="{00000000-0005-0000-0000-000075000000}"/>
    <cellStyle name="_KT (2)_2_TG-TH_Book1_3_Book1" xfId="128" xr:uid="{00000000-0005-0000-0000-000076000000}"/>
    <cellStyle name="_KT (2)_2_TG-TH_Book1_3_DT truong thinh phu" xfId="129" xr:uid="{00000000-0005-0000-0000-000077000000}"/>
    <cellStyle name="_KT (2)_2_TG-TH_Book1_3_XL4Test5" xfId="130" xr:uid="{00000000-0005-0000-0000-000078000000}"/>
    <cellStyle name="_KT (2)_2_TG-TH_Book1_4" xfId="131" xr:uid="{00000000-0005-0000-0000-000079000000}"/>
    <cellStyle name="_KT (2)_2_TG-TH_Book1_Book1" xfId="132" xr:uid="{00000000-0005-0000-0000-00007A000000}"/>
    <cellStyle name="_KT (2)_2_TG-TH_Book1_DanhMucDonGiaVTTB_Dien_TAM" xfId="133" xr:uid="{00000000-0005-0000-0000-00007B000000}"/>
    <cellStyle name="_KT (2)_2_TG-TH_Book1_Kiem Tra Don Gia" xfId="135" xr:uid="{00000000-0005-0000-0000-00007D000000}"/>
    <cellStyle name="_KT (2)_2_TG-TH_Book1_khoiluongbdacdoa" xfId="134" xr:uid="{00000000-0005-0000-0000-00007C000000}"/>
    <cellStyle name="_KT (2)_2_TG-TH_Book1_Tong hop 3 tinh (11_5)-TTH-QN-QT" xfId="136" xr:uid="{00000000-0005-0000-0000-00007E000000}"/>
    <cellStyle name="_KT (2)_2_TG-TH_Book1_" xfId="137" xr:uid="{00000000-0005-0000-0000-00007F000000}"/>
    <cellStyle name="_KT (2)_2_TG-TH_CAU Khanh Nam(Thi Cong)" xfId="138" xr:uid="{00000000-0005-0000-0000-000080000000}"/>
    <cellStyle name="_KT (2)_2_TG-TH_DAU NOI PL-CL TAI PHU LAMHC" xfId="139" xr:uid="{00000000-0005-0000-0000-000081000000}"/>
    <cellStyle name="_KT (2)_2_TG-TH_Dcdtoan-bcnckt " xfId="140" xr:uid="{00000000-0005-0000-0000-000082000000}"/>
    <cellStyle name="_KT (2)_2_TG-TH_DN_MTP" xfId="141" xr:uid="{00000000-0005-0000-0000-000083000000}"/>
    <cellStyle name="_KT (2)_2_TG-TH_Dongia2-2003" xfId="142" xr:uid="{00000000-0005-0000-0000-000084000000}"/>
    <cellStyle name="_KT (2)_2_TG-TH_Dongia2-2003_DT truong thinh phu" xfId="143" xr:uid="{00000000-0005-0000-0000-000085000000}"/>
    <cellStyle name="_KT (2)_2_TG-TH_DT truong thinh phu" xfId="144" xr:uid="{00000000-0005-0000-0000-000086000000}"/>
    <cellStyle name="_KT (2)_2_TG-TH_DTCDT MR.2N110.HOCMON.TDTOAN.CCUNG" xfId="145" xr:uid="{00000000-0005-0000-0000-000087000000}"/>
    <cellStyle name="_KT (2)_2_TG-TH_DTDuong dong tien -sua tham tra 2009 - luong 650" xfId="146" xr:uid="{00000000-0005-0000-0000-000088000000}"/>
    <cellStyle name="_KT (2)_2_TG-TH_DU TRU VAT TU" xfId="147" xr:uid="{00000000-0005-0000-0000-000089000000}"/>
    <cellStyle name="_KT (2)_2_TG-TH_Kiem Tra Don Gia" xfId="149" xr:uid="{00000000-0005-0000-0000-00008B000000}"/>
    <cellStyle name="_KT (2)_2_TG-TH_khoiluongbdacdoa" xfId="148" xr:uid="{00000000-0005-0000-0000-00008A000000}"/>
    <cellStyle name="_KT (2)_2_TG-TH_Lora-tungchau" xfId="150" xr:uid="{00000000-0005-0000-0000-00008C000000}"/>
    <cellStyle name="_KT (2)_2_TG-TH_moi" xfId="151" xr:uid="{00000000-0005-0000-0000-00008D000000}"/>
    <cellStyle name="_KT (2)_2_TG-TH_PGIA-phieu tham tra Kho bac" xfId="152" xr:uid="{00000000-0005-0000-0000-00008E000000}"/>
    <cellStyle name="_KT (2)_2_TG-TH_PT02-02" xfId="153" xr:uid="{00000000-0005-0000-0000-00008F000000}"/>
    <cellStyle name="_KT (2)_2_TG-TH_PT02-02_Book1" xfId="154" xr:uid="{00000000-0005-0000-0000-000090000000}"/>
    <cellStyle name="_KT (2)_2_TG-TH_PT02-03" xfId="155" xr:uid="{00000000-0005-0000-0000-000091000000}"/>
    <cellStyle name="_KT (2)_2_TG-TH_PT02-03_Book1" xfId="156" xr:uid="{00000000-0005-0000-0000-000092000000}"/>
    <cellStyle name="_KT (2)_2_TG-TH_Qt-HT3PQ1(CauKho)" xfId="157" xr:uid="{00000000-0005-0000-0000-000093000000}"/>
    <cellStyle name="_KT (2)_2_TG-TH_Qt-HT3PQ1(CauKho)_Book1" xfId="158" xr:uid="{00000000-0005-0000-0000-000094000000}"/>
    <cellStyle name="_KT (2)_2_TG-TH_Qt-HT3PQ1(CauKho)_Don gia quy 3 nam 2003 - Ban Dien Luc" xfId="159" xr:uid="{00000000-0005-0000-0000-000095000000}"/>
    <cellStyle name="_KT (2)_2_TG-TH_Qt-HT3PQ1(CauKho)_Kiem Tra Don Gia" xfId="160" xr:uid="{00000000-0005-0000-0000-000096000000}"/>
    <cellStyle name="_KT (2)_2_TG-TH_Qt-HT3PQ1(CauKho)_NC-VL2-2003" xfId="161" xr:uid="{00000000-0005-0000-0000-000097000000}"/>
    <cellStyle name="_KT (2)_2_TG-TH_Qt-HT3PQ1(CauKho)_NC-VL2-2003_1" xfId="162" xr:uid="{00000000-0005-0000-0000-000098000000}"/>
    <cellStyle name="_KT (2)_2_TG-TH_Qt-HT3PQ1(CauKho)_XL4Test5" xfId="163" xr:uid="{00000000-0005-0000-0000-000099000000}"/>
    <cellStyle name="_KT (2)_2_TG-TH_QT-LCTP-AE" xfId="164" xr:uid="{00000000-0005-0000-0000-00009A000000}"/>
    <cellStyle name="_KT (2)_2_TG-TH_quy luong con lai nam 2004" xfId="165" xr:uid="{00000000-0005-0000-0000-00009B000000}"/>
    <cellStyle name="_KT (2)_2_TG-TH_Sheet2" xfId="166" xr:uid="{00000000-0005-0000-0000-00009C000000}"/>
    <cellStyle name="_KT (2)_2_TG-TH_TEL OUT 2004" xfId="167" xr:uid="{00000000-0005-0000-0000-00009D000000}"/>
    <cellStyle name="_KT (2)_2_TG-TH_Tong hop 3 tinh (11_5)-TTH-QN-QT" xfId="168" xr:uid="{00000000-0005-0000-0000-00009E000000}"/>
    <cellStyle name="_KT (2)_2_TG-TH_XL4Poppy" xfId="169" xr:uid="{00000000-0005-0000-0000-00009F000000}"/>
    <cellStyle name="_KT (2)_2_TG-TH_XL4Test5" xfId="170" xr:uid="{00000000-0005-0000-0000-0000A0000000}"/>
    <cellStyle name="_KT (2)_2_TG-TH_ÿÿÿÿÿ" xfId="171" xr:uid="{00000000-0005-0000-0000-0000A1000000}"/>
    <cellStyle name="_KT (2)_2_TG-TH_" xfId="172" xr:uid="{00000000-0005-0000-0000-0000A2000000}"/>
    <cellStyle name="_KT (2)_3" xfId="173" xr:uid="{00000000-0005-0000-0000-0000A3000000}"/>
    <cellStyle name="_KT (2)_3_TG-TH" xfId="174" xr:uid="{00000000-0005-0000-0000-0000A4000000}"/>
    <cellStyle name="_KT (2)_3_TG-TH_Book1" xfId="175" xr:uid="{00000000-0005-0000-0000-0000A5000000}"/>
    <cellStyle name="_KT (2)_3_TG-TH_Book1_1" xfId="176" xr:uid="{00000000-0005-0000-0000-0000A6000000}"/>
    <cellStyle name="_KT (2)_3_TG-TH_Book1_BC-QT-WB-dthao" xfId="177" xr:uid="{00000000-0005-0000-0000-0000A7000000}"/>
    <cellStyle name="_KT (2)_3_TG-TH_Book1_Book1" xfId="178" xr:uid="{00000000-0005-0000-0000-0000A8000000}"/>
    <cellStyle name="_KT (2)_3_TG-TH_Book1_Kiem Tra Don Gia" xfId="179" xr:uid="{00000000-0005-0000-0000-0000A9000000}"/>
    <cellStyle name="_KT (2)_3_TG-TH_Book1_Kiem Tra Don Gia 2" xfId="180" xr:uid="{00000000-0005-0000-0000-0000AA000000}"/>
    <cellStyle name="_KT (2)_3_TG-TH_Kiem Tra Don Gia" xfId="182" xr:uid="{00000000-0005-0000-0000-0000AC000000}"/>
    <cellStyle name="_KT (2)_3_TG-TH_khoiluongbdacdoa" xfId="181" xr:uid="{00000000-0005-0000-0000-0000AB000000}"/>
    <cellStyle name="_KT (2)_3_TG-TH_Lora-tungchau" xfId="183" xr:uid="{00000000-0005-0000-0000-0000AD000000}"/>
    <cellStyle name="_KT (2)_3_TG-TH_Lora-tungchau_Book1" xfId="184" xr:uid="{00000000-0005-0000-0000-0000AE000000}"/>
    <cellStyle name="_KT (2)_3_TG-TH_Lora-tungchau_Kiem Tra Don Gia" xfId="185" xr:uid="{00000000-0005-0000-0000-0000AF000000}"/>
    <cellStyle name="_KT (2)_3_TG-TH_Lora-tungchau_Kiem Tra Don Gia 2" xfId="186" xr:uid="{00000000-0005-0000-0000-0000B0000000}"/>
    <cellStyle name="_KT (2)_3_TG-TH_PERSONAL" xfId="187" xr:uid="{00000000-0005-0000-0000-0000B1000000}"/>
    <cellStyle name="_KT (2)_3_TG-TH_PERSONAL_Book1" xfId="188" xr:uid="{00000000-0005-0000-0000-0000B2000000}"/>
    <cellStyle name="_KT (2)_3_TG-TH_PERSONAL_HTQ.8 GD1" xfId="189" xr:uid="{00000000-0005-0000-0000-0000B3000000}"/>
    <cellStyle name="_KT (2)_3_TG-TH_PERSONAL_HTQ.8 GD1_Book1" xfId="190" xr:uid="{00000000-0005-0000-0000-0000B4000000}"/>
    <cellStyle name="_KT (2)_3_TG-TH_PERSONAL_HTQ.8 GD1_Don gia quy 3 nam 2003 - Ban Dien Luc" xfId="191" xr:uid="{00000000-0005-0000-0000-0000B5000000}"/>
    <cellStyle name="_KT (2)_3_TG-TH_PERSONAL_HTQ.8 GD1_NC-VL2-2003" xfId="192" xr:uid="{00000000-0005-0000-0000-0000B6000000}"/>
    <cellStyle name="_KT (2)_3_TG-TH_PERSONAL_HTQ.8 GD1_NC-VL2-2003_1" xfId="193" xr:uid="{00000000-0005-0000-0000-0000B7000000}"/>
    <cellStyle name="_KT (2)_3_TG-TH_PERSONAL_HTQ.8 GD1_XL4Test5" xfId="194" xr:uid="{00000000-0005-0000-0000-0000B8000000}"/>
    <cellStyle name="_KT (2)_3_TG-TH_PERSONAL_khoiluongbdacdoa" xfId="195" xr:uid="{00000000-0005-0000-0000-0000B9000000}"/>
    <cellStyle name="_KT (2)_3_TG-TH_PERSONAL_Tong hop KHCB 2001" xfId="196" xr:uid="{00000000-0005-0000-0000-0000BA000000}"/>
    <cellStyle name="_KT (2)_3_TG-TH_PERSONAL_" xfId="197" xr:uid="{00000000-0005-0000-0000-0000BB000000}"/>
    <cellStyle name="_KT (2)_3_TG-TH_Qt-HT3PQ1(CauKho)" xfId="198" xr:uid="{00000000-0005-0000-0000-0000BC000000}"/>
    <cellStyle name="_KT (2)_3_TG-TH_Qt-HT3PQ1(CauKho)_Book1" xfId="199" xr:uid="{00000000-0005-0000-0000-0000BD000000}"/>
    <cellStyle name="_KT (2)_3_TG-TH_Qt-HT3PQ1(CauKho)_Don gia quy 3 nam 2003 - Ban Dien Luc" xfId="200" xr:uid="{00000000-0005-0000-0000-0000BE000000}"/>
    <cellStyle name="_KT (2)_3_TG-TH_Qt-HT3PQ1(CauKho)_Kiem Tra Don Gia" xfId="201" xr:uid="{00000000-0005-0000-0000-0000BF000000}"/>
    <cellStyle name="_KT (2)_3_TG-TH_Qt-HT3PQ1(CauKho)_NC-VL2-2003" xfId="202" xr:uid="{00000000-0005-0000-0000-0000C0000000}"/>
    <cellStyle name="_KT (2)_3_TG-TH_Qt-HT3PQ1(CauKho)_NC-VL2-2003_1" xfId="203" xr:uid="{00000000-0005-0000-0000-0000C1000000}"/>
    <cellStyle name="_KT (2)_3_TG-TH_Qt-HT3PQ1(CauKho)_XL4Test5" xfId="204" xr:uid="{00000000-0005-0000-0000-0000C2000000}"/>
    <cellStyle name="_KT (2)_3_TG-TH_QT-LCTP-AE" xfId="205" xr:uid="{00000000-0005-0000-0000-0000C3000000}"/>
    <cellStyle name="_KT (2)_3_TG-TH_quy luong con lai nam 2004" xfId="206" xr:uid="{00000000-0005-0000-0000-0000C4000000}"/>
    <cellStyle name="_KT (2)_3_TG-TH_" xfId="207" xr:uid="{00000000-0005-0000-0000-0000C5000000}"/>
    <cellStyle name="_KT (2)_4" xfId="208" xr:uid="{00000000-0005-0000-0000-0000C6000000}"/>
    <cellStyle name="_KT (2)_4_BANG TONG HOP TINH HINH THANH QUYET TOAN (MOI I)" xfId="209" xr:uid="{00000000-0005-0000-0000-0000C7000000}"/>
    <cellStyle name="_KT (2)_4_BAO CAO KLCT PT2000" xfId="210" xr:uid="{00000000-0005-0000-0000-0000C8000000}"/>
    <cellStyle name="_KT (2)_4_BAO CAO PT2000" xfId="211" xr:uid="{00000000-0005-0000-0000-0000C9000000}"/>
    <cellStyle name="_KT (2)_4_BAO CAO PT2000_Book1" xfId="212" xr:uid="{00000000-0005-0000-0000-0000CA000000}"/>
    <cellStyle name="_KT (2)_4_Bao cao XDCB 2001 - T11 KH dieu chinh 20-11-THAI" xfId="213" xr:uid="{00000000-0005-0000-0000-0000CB000000}"/>
    <cellStyle name="_KT (2)_4_BAO GIA NGAY 24-10-08 (co dam)" xfId="214" xr:uid="{00000000-0005-0000-0000-0000CC000000}"/>
    <cellStyle name="_KT (2)_4_Biểu KH 5 năm gửi UB sửa biểu VHXH" xfId="215" xr:uid="{00000000-0005-0000-0000-0000CD000000}"/>
    <cellStyle name="_KT (2)_4_Book1" xfId="216" xr:uid="{00000000-0005-0000-0000-0000CE000000}"/>
    <cellStyle name="_KT (2)_4_Book1_1" xfId="217" xr:uid="{00000000-0005-0000-0000-0000CF000000}"/>
    <cellStyle name="_KT (2)_4_Book1_1_Book1" xfId="218" xr:uid="{00000000-0005-0000-0000-0000D0000000}"/>
    <cellStyle name="_KT (2)_4_Book1_1_DanhMucDonGiaVTTB_Dien_TAM" xfId="219" xr:uid="{00000000-0005-0000-0000-0000D1000000}"/>
    <cellStyle name="_KT (2)_4_Book1_1_khoiluongbdacdoa" xfId="220" xr:uid="{00000000-0005-0000-0000-0000D2000000}"/>
    <cellStyle name="_KT (2)_4_Book1_2" xfId="221" xr:uid="{00000000-0005-0000-0000-0000D3000000}"/>
    <cellStyle name="_KT (2)_4_Book1_2_Book1" xfId="222" xr:uid="{00000000-0005-0000-0000-0000D4000000}"/>
    <cellStyle name="_KT (2)_4_Book1_3" xfId="223" xr:uid="{00000000-0005-0000-0000-0000D5000000}"/>
    <cellStyle name="_KT (2)_4_Book1_3_Book1" xfId="224" xr:uid="{00000000-0005-0000-0000-0000D6000000}"/>
    <cellStyle name="_KT (2)_4_Book1_3_DT truong thinh phu" xfId="225" xr:uid="{00000000-0005-0000-0000-0000D7000000}"/>
    <cellStyle name="_KT (2)_4_Book1_3_XL4Test5" xfId="226" xr:uid="{00000000-0005-0000-0000-0000D8000000}"/>
    <cellStyle name="_KT (2)_4_Book1_4" xfId="227" xr:uid="{00000000-0005-0000-0000-0000D9000000}"/>
    <cellStyle name="_KT (2)_4_Book1_Book1" xfId="228" xr:uid="{00000000-0005-0000-0000-0000DA000000}"/>
    <cellStyle name="_KT (2)_4_Book1_DanhMucDonGiaVTTB_Dien_TAM" xfId="229" xr:uid="{00000000-0005-0000-0000-0000DB000000}"/>
    <cellStyle name="_KT (2)_4_Book1_Kiem Tra Don Gia" xfId="231" xr:uid="{00000000-0005-0000-0000-0000DD000000}"/>
    <cellStyle name="_KT (2)_4_Book1_khoiluongbdacdoa" xfId="230" xr:uid="{00000000-0005-0000-0000-0000DC000000}"/>
    <cellStyle name="_KT (2)_4_Book1_Tong hop 3 tinh (11_5)-TTH-QN-QT" xfId="232" xr:uid="{00000000-0005-0000-0000-0000DE000000}"/>
    <cellStyle name="_KT (2)_4_Book1_" xfId="233" xr:uid="{00000000-0005-0000-0000-0000DF000000}"/>
    <cellStyle name="_KT (2)_4_CAU Khanh Nam(Thi Cong)" xfId="234" xr:uid="{00000000-0005-0000-0000-0000E0000000}"/>
    <cellStyle name="_KT (2)_4_DAU NOI PL-CL TAI PHU LAMHC" xfId="235" xr:uid="{00000000-0005-0000-0000-0000E1000000}"/>
    <cellStyle name="_KT (2)_4_Dcdtoan-bcnckt " xfId="236" xr:uid="{00000000-0005-0000-0000-0000E2000000}"/>
    <cellStyle name="_KT (2)_4_DN_MTP" xfId="237" xr:uid="{00000000-0005-0000-0000-0000E3000000}"/>
    <cellStyle name="_KT (2)_4_Dongia2-2003" xfId="238" xr:uid="{00000000-0005-0000-0000-0000E4000000}"/>
    <cellStyle name="_KT (2)_4_Dongia2-2003_DT truong thinh phu" xfId="239" xr:uid="{00000000-0005-0000-0000-0000E5000000}"/>
    <cellStyle name="_KT (2)_4_DT truong thinh phu" xfId="240" xr:uid="{00000000-0005-0000-0000-0000E6000000}"/>
    <cellStyle name="_KT (2)_4_DTCDT MR.2N110.HOCMON.TDTOAN.CCUNG" xfId="241" xr:uid="{00000000-0005-0000-0000-0000E7000000}"/>
    <cellStyle name="_KT (2)_4_DTDuong dong tien -sua tham tra 2009 - luong 650" xfId="242" xr:uid="{00000000-0005-0000-0000-0000E8000000}"/>
    <cellStyle name="_KT (2)_4_DU TRU VAT TU" xfId="243" xr:uid="{00000000-0005-0000-0000-0000E9000000}"/>
    <cellStyle name="_KT (2)_4_Kiem Tra Don Gia" xfId="245" xr:uid="{00000000-0005-0000-0000-0000EB000000}"/>
    <cellStyle name="_KT (2)_4_khoiluongbdacdoa" xfId="244" xr:uid="{00000000-0005-0000-0000-0000EA000000}"/>
    <cellStyle name="_KT (2)_4_Lora-tungchau" xfId="246" xr:uid="{00000000-0005-0000-0000-0000EC000000}"/>
    <cellStyle name="_KT (2)_4_moi" xfId="247" xr:uid="{00000000-0005-0000-0000-0000ED000000}"/>
    <cellStyle name="_KT (2)_4_PGIA-phieu tham tra Kho bac" xfId="248" xr:uid="{00000000-0005-0000-0000-0000EE000000}"/>
    <cellStyle name="_KT (2)_4_PT02-02" xfId="249" xr:uid="{00000000-0005-0000-0000-0000EF000000}"/>
    <cellStyle name="_KT (2)_4_PT02-02_Book1" xfId="250" xr:uid="{00000000-0005-0000-0000-0000F0000000}"/>
    <cellStyle name="_KT (2)_4_PT02-03" xfId="251" xr:uid="{00000000-0005-0000-0000-0000F1000000}"/>
    <cellStyle name="_KT (2)_4_PT02-03_Book1" xfId="252" xr:uid="{00000000-0005-0000-0000-0000F2000000}"/>
    <cellStyle name="_KT (2)_4_Qt-HT3PQ1(CauKho)" xfId="253" xr:uid="{00000000-0005-0000-0000-0000F3000000}"/>
    <cellStyle name="_KT (2)_4_Qt-HT3PQ1(CauKho)_Book1" xfId="254" xr:uid="{00000000-0005-0000-0000-0000F4000000}"/>
    <cellStyle name="_KT (2)_4_Qt-HT3PQ1(CauKho)_Don gia quy 3 nam 2003 - Ban Dien Luc" xfId="255" xr:uid="{00000000-0005-0000-0000-0000F5000000}"/>
    <cellStyle name="_KT (2)_4_Qt-HT3PQ1(CauKho)_Kiem Tra Don Gia" xfId="256" xr:uid="{00000000-0005-0000-0000-0000F6000000}"/>
    <cellStyle name="_KT (2)_4_Qt-HT3PQ1(CauKho)_NC-VL2-2003" xfId="257" xr:uid="{00000000-0005-0000-0000-0000F7000000}"/>
    <cellStyle name="_KT (2)_4_Qt-HT3PQ1(CauKho)_NC-VL2-2003_1" xfId="258" xr:uid="{00000000-0005-0000-0000-0000F8000000}"/>
    <cellStyle name="_KT (2)_4_Qt-HT3PQ1(CauKho)_XL4Test5" xfId="259" xr:uid="{00000000-0005-0000-0000-0000F9000000}"/>
    <cellStyle name="_KT (2)_4_QT-LCTP-AE" xfId="260" xr:uid="{00000000-0005-0000-0000-0000FA000000}"/>
    <cellStyle name="_KT (2)_4_quy luong con lai nam 2004" xfId="261" xr:uid="{00000000-0005-0000-0000-0000FB000000}"/>
    <cellStyle name="_KT (2)_4_Sheet2" xfId="262" xr:uid="{00000000-0005-0000-0000-0000FC000000}"/>
    <cellStyle name="_KT (2)_4_TEL OUT 2004" xfId="263" xr:uid="{00000000-0005-0000-0000-0000FD000000}"/>
    <cellStyle name="_KT (2)_4_TG-TH" xfId="264" xr:uid="{00000000-0005-0000-0000-0000FE000000}"/>
    <cellStyle name="_KT (2)_4_TG-TH_Book1" xfId="265" xr:uid="{00000000-0005-0000-0000-0000FF000000}"/>
    <cellStyle name="_KT (2)_4_TG-TH_DTDuong dong tien -sua tham tra 2009 - luong 650" xfId="266" xr:uid="{00000000-0005-0000-0000-000000010000}"/>
    <cellStyle name="_KT (2)_4_TG-TH_quy luong con lai nam 2004" xfId="267" xr:uid="{00000000-0005-0000-0000-000001010000}"/>
    <cellStyle name="_KT (2)_4_Tong hop 3 tinh (11_5)-TTH-QN-QT" xfId="268" xr:uid="{00000000-0005-0000-0000-000002010000}"/>
    <cellStyle name="_KT (2)_4_XL4Poppy" xfId="269" xr:uid="{00000000-0005-0000-0000-000003010000}"/>
    <cellStyle name="_KT (2)_4_XL4Test5" xfId="270" xr:uid="{00000000-0005-0000-0000-000004010000}"/>
    <cellStyle name="_KT (2)_4_ÿÿÿÿÿ" xfId="271" xr:uid="{00000000-0005-0000-0000-000005010000}"/>
    <cellStyle name="_KT (2)_4_" xfId="272" xr:uid="{00000000-0005-0000-0000-000006010000}"/>
    <cellStyle name="_KT (2)_5" xfId="273" xr:uid="{00000000-0005-0000-0000-000007010000}"/>
    <cellStyle name="_KT (2)_5_BANG TONG HOP TINH HINH THANH QUYET TOAN (MOI I)" xfId="274" xr:uid="{00000000-0005-0000-0000-000008010000}"/>
    <cellStyle name="_KT (2)_5_BAO CAO KLCT PT2000" xfId="275" xr:uid="{00000000-0005-0000-0000-000009010000}"/>
    <cellStyle name="_KT (2)_5_BAO CAO PT2000" xfId="276" xr:uid="{00000000-0005-0000-0000-00000A010000}"/>
    <cellStyle name="_KT (2)_5_BAO CAO PT2000_Book1" xfId="277" xr:uid="{00000000-0005-0000-0000-00000B010000}"/>
    <cellStyle name="_KT (2)_5_Bao cao XDCB 2001 - T11 KH dieu chinh 20-11-THAI" xfId="278" xr:uid="{00000000-0005-0000-0000-00000C010000}"/>
    <cellStyle name="_KT (2)_5_BAO GIA NGAY 24-10-08 (co dam)" xfId="279" xr:uid="{00000000-0005-0000-0000-00000D010000}"/>
    <cellStyle name="_KT (2)_5_Biểu KH 5 năm gửi UB sửa biểu VHXH" xfId="280" xr:uid="{00000000-0005-0000-0000-00000E010000}"/>
    <cellStyle name="_KT (2)_5_Book1" xfId="281" xr:uid="{00000000-0005-0000-0000-00000F010000}"/>
    <cellStyle name="_KT (2)_5_Book1_1" xfId="282" xr:uid="{00000000-0005-0000-0000-000010010000}"/>
    <cellStyle name="_KT (2)_5_Book1_1_Book1" xfId="283" xr:uid="{00000000-0005-0000-0000-000011010000}"/>
    <cellStyle name="_KT (2)_5_Book1_1_DanhMucDonGiaVTTB_Dien_TAM" xfId="284" xr:uid="{00000000-0005-0000-0000-000012010000}"/>
    <cellStyle name="_KT (2)_5_Book1_1_khoiluongbdacdoa" xfId="285" xr:uid="{00000000-0005-0000-0000-000013010000}"/>
    <cellStyle name="_KT (2)_5_Book1_2" xfId="286" xr:uid="{00000000-0005-0000-0000-000014010000}"/>
    <cellStyle name="_KT (2)_5_Book1_2_Book1" xfId="287" xr:uid="{00000000-0005-0000-0000-000015010000}"/>
    <cellStyle name="_KT (2)_5_Book1_3" xfId="288" xr:uid="{00000000-0005-0000-0000-000016010000}"/>
    <cellStyle name="_KT (2)_5_Book1_3_Book1" xfId="289" xr:uid="{00000000-0005-0000-0000-000017010000}"/>
    <cellStyle name="_KT (2)_5_Book1_3_DT truong thinh phu" xfId="290" xr:uid="{00000000-0005-0000-0000-000018010000}"/>
    <cellStyle name="_KT (2)_5_Book1_3_XL4Test5" xfId="291" xr:uid="{00000000-0005-0000-0000-000019010000}"/>
    <cellStyle name="_KT (2)_5_Book1_4" xfId="292" xr:uid="{00000000-0005-0000-0000-00001A010000}"/>
    <cellStyle name="_KT (2)_5_Book1_BC-QT-WB-dthao" xfId="293" xr:uid="{00000000-0005-0000-0000-00001B010000}"/>
    <cellStyle name="_KT (2)_5_Book1_Book1" xfId="294" xr:uid="{00000000-0005-0000-0000-00001C010000}"/>
    <cellStyle name="_KT (2)_5_Book1_DanhMucDonGiaVTTB_Dien_TAM" xfId="295" xr:uid="{00000000-0005-0000-0000-00001D010000}"/>
    <cellStyle name="_KT (2)_5_Book1_Kiem Tra Don Gia" xfId="297" xr:uid="{00000000-0005-0000-0000-00001F010000}"/>
    <cellStyle name="_KT (2)_5_Book1_khoiluongbdacdoa" xfId="296" xr:uid="{00000000-0005-0000-0000-00001E010000}"/>
    <cellStyle name="_KT (2)_5_Book1_Tong hop 3 tinh (11_5)-TTH-QN-QT" xfId="298" xr:uid="{00000000-0005-0000-0000-000020010000}"/>
    <cellStyle name="_KT (2)_5_Book1_" xfId="299" xr:uid="{00000000-0005-0000-0000-000021010000}"/>
    <cellStyle name="_KT (2)_5_CAU Khanh Nam(Thi Cong)" xfId="300" xr:uid="{00000000-0005-0000-0000-000022010000}"/>
    <cellStyle name="_KT (2)_5_DAU NOI PL-CL TAI PHU LAMHC" xfId="301" xr:uid="{00000000-0005-0000-0000-000023010000}"/>
    <cellStyle name="_KT (2)_5_Dcdtoan-bcnckt " xfId="302" xr:uid="{00000000-0005-0000-0000-000024010000}"/>
    <cellStyle name="_KT (2)_5_DN_MTP" xfId="303" xr:uid="{00000000-0005-0000-0000-000025010000}"/>
    <cellStyle name="_KT (2)_5_Dongia2-2003" xfId="304" xr:uid="{00000000-0005-0000-0000-000026010000}"/>
    <cellStyle name="_KT (2)_5_Dongia2-2003_DT truong thinh phu" xfId="305" xr:uid="{00000000-0005-0000-0000-000027010000}"/>
    <cellStyle name="_KT (2)_5_DT truong thinh phu" xfId="306" xr:uid="{00000000-0005-0000-0000-000028010000}"/>
    <cellStyle name="_KT (2)_5_DTCDT MR.2N110.HOCMON.TDTOAN.CCUNG" xfId="307" xr:uid="{00000000-0005-0000-0000-000029010000}"/>
    <cellStyle name="_KT (2)_5_DTDuong dong tien -sua tham tra 2009 - luong 650" xfId="308" xr:uid="{00000000-0005-0000-0000-00002A010000}"/>
    <cellStyle name="_KT (2)_5_DU TRU VAT TU" xfId="309" xr:uid="{00000000-0005-0000-0000-00002B010000}"/>
    <cellStyle name="_KT (2)_5_Kiem Tra Don Gia" xfId="311" xr:uid="{00000000-0005-0000-0000-00002D010000}"/>
    <cellStyle name="_KT (2)_5_khoiluongbdacdoa" xfId="310" xr:uid="{00000000-0005-0000-0000-00002C010000}"/>
    <cellStyle name="_KT (2)_5_Lora-tungchau" xfId="312" xr:uid="{00000000-0005-0000-0000-00002E010000}"/>
    <cellStyle name="_KT (2)_5_moi" xfId="313" xr:uid="{00000000-0005-0000-0000-00002F010000}"/>
    <cellStyle name="_KT (2)_5_PGIA-phieu tham tra Kho bac" xfId="314" xr:uid="{00000000-0005-0000-0000-000030010000}"/>
    <cellStyle name="_KT (2)_5_PT02-02" xfId="315" xr:uid="{00000000-0005-0000-0000-000031010000}"/>
    <cellStyle name="_KT (2)_5_PT02-02_Book1" xfId="316" xr:uid="{00000000-0005-0000-0000-000032010000}"/>
    <cellStyle name="_KT (2)_5_PT02-03" xfId="317" xr:uid="{00000000-0005-0000-0000-000033010000}"/>
    <cellStyle name="_KT (2)_5_PT02-03_Book1" xfId="318" xr:uid="{00000000-0005-0000-0000-000034010000}"/>
    <cellStyle name="_KT (2)_5_Qt-HT3PQ1(CauKho)" xfId="319" xr:uid="{00000000-0005-0000-0000-000035010000}"/>
    <cellStyle name="_KT (2)_5_Qt-HT3PQ1(CauKho)_Book1" xfId="320" xr:uid="{00000000-0005-0000-0000-000036010000}"/>
    <cellStyle name="_KT (2)_5_Qt-HT3PQ1(CauKho)_Don gia quy 3 nam 2003 - Ban Dien Luc" xfId="321" xr:uid="{00000000-0005-0000-0000-000037010000}"/>
    <cellStyle name="_KT (2)_5_Qt-HT3PQ1(CauKho)_Kiem Tra Don Gia" xfId="322" xr:uid="{00000000-0005-0000-0000-000038010000}"/>
    <cellStyle name="_KT (2)_5_Qt-HT3PQ1(CauKho)_NC-VL2-2003" xfId="323" xr:uid="{00000000-0005-0000-0000-000039010000}"/>
    <cellStyle name="_KT (2)_5_Qt-HT3PQ1(CauKho)_NC-VL2-2003_1" xfId="324" xr:uid="{00000000-0005-0000-0000-00003A010000}"/>
    <cellStyle name="_KT (2)_5_Qt-HT3PQ1(CauKho)_XL4Test5" xfId="325" xr:uid="{00000000-0005-0000-0000-00003B010000}"/>
    <cellStyle name="_KT (2)_5_QT-LCTP-AE" xfId="326" xr:uid="{00000000-0005-0000-0000-00003C010000}"/>
    <cellStyle name="_KT (2)_5_Sheet2" xfId="327" xr:uid="{00000000-0005-0000-0000-00003D010000}"/>
    <cellStyle name="_KT (2)_5_TEL OUT 2004" xfId="328" xr:uid="{00000000-0005-0000-0000-00003E010000}"/>
    <cellStyle name="_KT (2)_5_Tong hop 3 tinh (11_5)-TTH-QN-QT" xfId="329" xr:uid="{00000000-0005-0000-0000-00003F010000}"/>
    <cellStyle name="_KT (2)_5_XL4Poppy" xfId="330" xr:uid="{00000000-0005-0000-0000-000040010000}"/>
    <cellStyle name="_KT (2)_5_XL4Test5" xfId="331" xr:uid="{00000000-0005-0000-0000-000041010000}"/>
    <cellStyle name="_KT (2)_5_ÿÿÿÿÿ" xfId="332" xr:uid="{00000000-0005-0000-0000-000042010000}"/>
    <cellStyle name="_KT (2)_5_" xfId="333" xr:uid="{00000000-0005-0000-0000-000043010000}"/>
    <cellStyle name="_KT (2)_Book1" xfId="334" xr:uid="{00000000-0005-0000-0000-000044010000}"/>
    <cellStyle name="_KT (2)_Book1_1" xfId="335" xr:uid="{00000000-0005-0000-0000-000045010000}"/>
    <cellStyle name="_KT (2)_Book1_BC-QT-WB-dthao" xfId="336" xr:uid="{00000000-0005-0000-0000-000046010000}"/>
    <cellStyle name="_KT (2)_Book1_Book1" xfId="337" xr:uid="{00000000-0005-0000-0000-000047010000}"/>
    <cellStyle name="_KT (2)_Book1_Kiem Tra Don Gia" xfId="338" xr:uid="{00000000-0005-0000-0000-000048010000}"/>
    <cellStyle name="_KT (2)_Book1_Kiem Tra Don Gia 2" xfId="339" xr:uid="{00000000-0005-0000-0000-000049010000}"/>
    <cellStyle name="_KT (2)_Kiem Tra Don Gia" xfId="341" xr:uid="{00000000-0005-0000-0000-00004B010000}"/>
    <cellStyle name="_KT (2)_khoiluongbdacdoa" xfId="340" xr:uid="{00000000-0005-0000-0000-00004A010000}"/>
    <cellStyle name="_KT (2)_Lora-tungchau" xfId="342" xr:uid="{00000000-0005-0000-0000-00004C010000}"/>
    <cellStyle name="_KT (2)_Lora-tungchau_Book1" xfId="343" xr:uid="{00000000-0005-0000-0000-00004D010000}"/>
    <cellStyle name="_KT (2)_Lora-tungchau_Kiem Tra Don Gia" xfId="344" xr:uid="{00000000-0005-0000-0000-00004E010000}"/>
    <cellStyle name="_KT (2)_Lora-tungchau_Kiem Tra Don Gia 2" xfId="345" xr:uid="{00000000-0005-0000-0000-00004F010000}"/>
    <cellStyle name="_KT (2)_PERSONAL" xfId="346" xr:uid="{00000000-0005-0000-0000-000050010000}"/>
    <cellStyle name="_KT (2)_PERSONAL_Book1" xfId="347" xr:uid="{00000000-0005-0000-0000-000051010000}"/>
    <cellStyle name="_KT (2)_PERSONAL_HTQ.8 GD1" xfId="348" xr:uid="{00000000-0005-0000-0000-000052010000}"/>
    <cellStyle name="_KT (2)_PERSONAL_HTQ.8 GD1_Book1" xfId="349" xr:uid="{00000000-0005-0000-0000-000053010000}"/>
    <cellStyle name="_KT (2)_PERSONAL_HTQ.8 GD1_Don gia quy 3 nam 2003 - Ban Dien Luc" xfId="350" xr:uid="{00000000-0005-0000-0000-000054010000}"/>
    <cellStyle name="_KT (2)_PERSONAL_HTQ.8 GD1_NC-VL2-2003" xfId="351" xr:uid="{00000000-0005-0000-0000-000055010000}"/>
    <cellStyle name="_KT (2)_PERSONAL_HTQ.8 GD1_NC-VL2-2003_1" xfId="352" xr:uid="{00000000-0005-0000-0000-000056010000}"/>
    <cellStyle name="_KT (2)_PERSONAL_HTQ.8 GD1_XL4Test5" xfId="353" xr:uid="{00000000-0005-0000-0000-000057010000}"/>
    <cellStyle name="_KT (2)_PERSONAL_khoiluongbdacdoa" xfId="354" xr:uid="{00000000-0005-0000-0000-000058010000}"/>
    <cellStyle name="_KT (2)_PERSONAL_Tong hop KHCB 2001" xfId="355" xr:uid="{00000000-0005-0000-0000-000059010000}"/>
    <cellStyle name="_KT (2)_PERSONAL_" xfId="356" xr:uid="{00000000-0005-0000-0000-00005A010000}"/>
    <cellStyle name="_KT (2)_Qt-HT3PQ1(CauKho)" xfId="357" xr:uid="{00000000-0005-0000-0000-00005B010000}"/>
    <cellStyle name="_KT (2)_Qt-HT3PQ1(CauKho)_Book1" xfId="358" xr:uid="{00000000-0005-0000-0000-00005C010000}"/>
    <cellStyle name="_KT (2)_Qt-HT3PQ1(CauKho)_Don gia quy 3 nam 2003 - Ban Dien Luc" xfId="359" xr:uid="{00000000-0005-0000-0000-00005D010000}"/>
    <cellStyle name="_KT (2)_Qt-HT3PQ1(CauKho)_Kiem Tra Don Gia" xfId="360" xr:uid="{00000000-0005-0000-0000-00005E010000}"/>
    <cellStyle name="_KT (2)_Qt-HT3PQ1(CauKho)_NC-VL2-2003" xfId="361" xr:uid="{00000000-0005-0000-0000-00005F010000}"/>
    <cellStyle name="_KT (2)_Qt-HT3PQ1(CauKho)_NC-VL2-2003_1" xfId="362" xr:uid="{00000000-0005-0000-0000-000060010000}"/>
    <cellStyle name="_KT (2)_Qt-HT3PQ1(CauKho)_XL4Test5" xfId="363" xr:uid="{00000000-0005-0000-0000-000061010000}"/>
    <cellStyle name="_KT (2)_QT-LCTP-AE" xfId="364" xr:uid="{00000000-0005-0000-0000-000062010000}"/>
    <cellStyle name="_KT (2)_quy luong con lai nam 2004" xfId="365" xr:uid="{00000000-0005-0000-0000-000063010000}"/>
    <cellStyle name="_KT (2)_TG-TH" xfId="366" xr:uid="{00000000-0005-0000-0000-000064010000}"/>
    <cellStyle name="_KT (2)_" xfId="367" xr:uid="{00000000-0005-0000-0000-000065010000}"/>
    <cellStyle name="_KT_TG" xfId="368" xr:uid="{00000000-0005-0000-0000-000066010000}"/>
    <cellStyle name="_KT_TG_1" xfId="369" xr:uid="{00000000-0005-0000-0000-000067010000}"/>
    <cellStyle name="_KT_TG_1_BANG TONG HOP TINH HINH THANH QUYET TOAN (MOI I)" xfId="370" xr:uid="{00000000-0005-0000-0000-000068010000}"/>
    <cellStyle name="_KT_TG_1_BAO CAO KLCT PT2000" xfId="371" xr:uid="{00000000-0005-0000-0000-000069010000}"/>
    <cellStyle name="_KT_TG_1_BAO CAO PT2000" xfId="372" xr:uid="{00000000-0005-0000-0000-00006A010000}"/>
    <cellStyle name="_KT_TG_1_BAO CAO PT2000_Book1" xfId="373" xr:uid="{00000000-0005-0000-0000-00006B010000}"/>
    <cellStyle name="_KT_TG_1_Bao cao XDCB 2001 - T11 KH dieu chinh 20-11-THAI" xfId="374" xr:uid="{00000000-0005-0000-0000-00006C010000}"/>
    <cellStyle name="_KT_TG_1_BAO GIA NGAY 24-10-08 (co dam)" xfId="375" xr:uid="{00000000-0005-0000-0000-00006D010000}"/>
    <cellStyle name="_KT_TG_1_Biểu KH 5 năm gửi UB sửa biểu VHXH" xfId="376" xr:uid="{00000000-0005-0000-0000-00006E010000}"/>
    <cellStyle name="_KT_TG_1_Book1" xfId="377" xr:uid="{00000000-0005-0000-0000-00006F010000}"/>
    <cellStyle name="_KT_TG_1_Book1_1" xfId="378" xr:uid="{00000000-0005-0000-0000-000070010000}"/>
    <cellStyle name="_KT_TG_1_Book1_1_Book1" xfId="379" xr:uid="{00000000-0005-0000-0000-000071010000}"/>
    <cellStyle name="_KT_TG_1_Book1_1_DanhMucDonGiaVTTB_Dien_TAM" xfId="380" xr:uid="{00000000-0005-0000-0000-000072010000}"/>
    <cellStyle name="_KT_TG_1_Book1_1_khoiluongbdacdoa" xfId="381" xr:uid="{00000000-0005-0000-0000-000073010000}"/>
    <cellStyle name="_KT_TG_1_Book1_2" xfId="382" xr:uid="{00000000-0005-0000-0000-000074010000}"/>
    <cellStyle name="_KT_TG_1_Book1_2_Book1" xfId="383" xr:uid="{00000000-0005-0000-0000-000075010000}"/>
    <cellStyle name="_KT_TG_1_Book1_3" xfId="384" xr:uid="{00000000-0005-0000-0000-000076010000}"/>
    <cellStyle name="_KT_TG_1_Book1_3_Book1" xfId="385" xr:uid="{00000000-0005-0000-0000-000077010000}"/>
    <cellStyle name="_KT_TG_1_Book1_3_DT truong thinh phu" xfId="386" xr:uid="{00000000-0005-0000-0000-000078010000}"/>
    <cellStyle name="_KT_TG_1_Book1_3_XL4Test5" xfId="387" xr:uid="{00000000-0005-0000-0000-000079010000}"/>
    <cellStyle name="_KT_TG_1_Book1_4" xfId="388" xr:uid="{00000000-0005-0000-0000-00007A010000}"/>
    <cellStyle name="_KT_TG_1_Book1_BC-QT-WB-dthao" xfId="389" xr:uid="{00000000-0005-0000-0000-00007B010000}"/>
    <cellStyle name="_KT_TG_1_Book1_Book1" xfId="390" xr:uid="{00000000-0005-0000-0000-00007C010000}"/>
    <cellStyle name="_KT_TG_1_Book1_DanhMucDonGiaVTTB_Dien_TAM" xfId="391" xr:uid="{00000000-0005-0000-0000-00007D010000}"/>
    <cellStyle name="_KT_TG_1_Book1_Kiem Tra Don Gia" xfId="393" xr:uid="{00000000-0005-0000-0000-00007F010000}"/>
    <cellStyle name="_KT_TG_1_Book1_khoiluongbdacdoa" xfId="392" xr:uid="{00000000-0005-0000-0000-00007E010000}"/>
    <cellStyle name="_KT_TG_1_Book1_Tong hop 3 tinh (11_5)-TTH-QN-QT" xfId="394" xr:uid="{00000000-0005-0000-0000-000080010000}"/>
    <cellStyle name="_KT_TG_1_Book1_" xfId="395" xr:uid="{00000000-0005-0000-0000-000081010000}"/>
    <cellStyle name="_KT_TG_1_CAU Khanh Nam(Thi Cong)" xfId="396" xr:uid="{00000000-0005-0000-0000-000082010000}"/>
    <cellStyle name="_KT_TG_1_DAU NOI PL-CL TAI PHU LAMHC" xfId="397" xr:uid="{00000000-0005-0000-0000-000083010000}"/>
    <cellStyle name="_KT_TG_1_Dcdtoan-bcnckt " xfId="398" xr:uid="{00000000-0005-0000-0000-000084010000}"/>
    <cellStyle name="_KT_TG_1_DN_MTP" xfId="399" xr:uid="{00000000-0005-0000-0000-000085010000}"/>
    <cellStyle name="_KT_TG_1_Dongia2-2003" xfId="400" xr:uid="{00000000-0005-0000-0000-000086010000}"/>
    <cellStyle name="_KT_TG_1_Dongia2-2003_DT truong thinh phu" xfId="401" xr:uid="{00000000-0005-0000-0000-000087010000}"/>
    <cellStyle name="_KT_TG_1_DT truong thinh phu" xfId="402" xr:uid="{00000000-0005-0000-0000-000088010000}"/>
    <cellStyle name="_KT_TG_1_DTCDT MR.2N110.HOCMON.TDTOAN.CCUNG" xfId="403" xr:uid="{00000000-0005-0000-0000-000089010000}"/>
    <cellStyle name="_KT_TG_1_DTDuong dong tien -sua tham tra 2009 - luong 650" xfId="404" xr:uid="{00000000-0005-0000-0000-00008A010000}"/>
    <cellStyle name="_KT_TG_1_DU TRU VAT TU" xfId="405" xr:uid="{00000000-0005-0000-0000-00008B010000}"/>
    <cellStyle name="_KT_TG_1_Kiem Tra Don Gia" xfId="407" xr:uid="{00000000-0005-0000-0000-00008D010000}"/>
    <cellStyle name="_KT_TG_1_khoiluongbdacdoa" xfId="406" xr:uid="{00000000-0005-0000-0000-00008C010000}"/>
    <cellStyle name="_KT_TG_1_Lora-tungchau" xfId="408" xr:uid="{00000000-0005-0000-0000-00008E010000}"/>
    <cellStyle name="_KT_TG_1_moi" xfId="409" xr:uid="{00000000-0005-0000-0000-00008F010000}"/>
    <cellStyle name="_KT_TG_1_PGIA-phieu tham tra Kho bac" xfId="410" xr:uid="{00000000-0005-0000-0000-000090010000}"/>
    <cellStyle name="_KT_TG_1_PT02-02" xfId="411" xr:uid="{00000000-0005-0000-0000-000091010000}"/>
    <cellStyle name="_KT_TG_1_PT02-02_Book1" xfId="412" xr:uid="{00000000-0005-0000-0000-000092010000}"/>
    <cellStyle name="_KT_TG_1_PT02-03" xfId="413" xr:uid="{00000000-0005-0000-0000-000093010000}"/>
    <cellStyle name="_KT_TG_1_PT02-03_Book1" xfId="414" xr:uid="{00000000-0005-0000-0000-000094010000}"/>
    <cellStyle name="_KT_TG_1_Qt-HT3PQ1(CauKho)" xfId="415" xr:uid="{00000000-0005-0000-0000-000095010000}"/>
    <cellStyle name="_KT_TG_1_Qt-HT3PQ1(CauKho)_Book1" xfId="416" xr:uid="{00000000-0005-0000-0000-000096010000}"/>
    <cellStyle name="_KT_TG_1_Qt-HT3PQ1(CauKho)_Don gia quy 3 nam 2003 - Ban Dien Luc" xfId="417" xr:uid="{00000000-0005-0000-0000-000097010000}"/>
    <cellStyle name="_KT_TG_1_Qt-HT3PQ1(CauKho)_Kiem Tra Don Gia" xfId="418" xr:uid="{00000000-0005-0000-0000-000098010000}"/>
    <cellStyle name="_KT_TG_1_Qt-HT3PQ1(CauKho)_NC-VL2-2003" xfId="419" xr:uid="{00000000-0005-0000-0000-000099010000}"/>
    <cellStyle name="_KT_TG_1_Qt-HT3PQ1(CauKho)_NC-VL2-2003_1" xfId="420" xr:uid="{00000000-0005-0000-0000-00009A010000}"/>
    <cellStyle name="_KT_TG_1_Qt-HT3PQ1(CauKho)_XL4Test5" xfId="421" xr:uid="{00000000-0005-0000-0000-00009B010000}"/>
    <cellStyle name="_KT_TG_1_QT-LCTP-AE" xfId="422" xr:uid="{00000000-0005-0000-0000-00009C010000}"/>
    <cellStyle name="_KT_TG_1_Sheet2" xfId="423" xr:uid="{00000000-0005-0000-0000-00009D010000}"/>
    <cellStyle name="_KT_TG_1_TEL OUT 2004" xfId="424" xr:uid="{00000000-0005-0000-0000-00009E010000}"/>
    <cellStyle name="_KT_TG_1_Tong hop 3 tinh (11_5)-TTH-QN-QT" xfId="425" xr:uid="{00000000-0005-0000-0000-00009F010000}"/>
    <cellStyle name="_KT_TG_1_XL4Poppy" xfId="426" xr:uid="{00000000-0005-0000-0000-0000A0010000}"/>
    <cellStyle name="_KT_TG_1_XL4Test5" xfId="427" xr:uid="{00000000-0005-0000-0000-0000A1010000}"/>
    <cellStyle name="_KT_TG_1_ÿÿÿÿÿ" xfId="428" xr:uid="{00000000-0005-0000-0000-0000A2010000}"/>
    <cellStyle name="_KT_TG_1_" xfId="429" xr:uid="{00000000-0005-0000-0000-0000A3010000}"/>
    <cellStyle name="_KT_TG_2" xfId="430" xr:uid="{00000000-0005-0000-0000-0000A4010000}"/>
    <cellStyle name="_KT_TG_2_BANG TONG HOP TINH HINH THANH QUYET TOAN (MOI I)" xfId="431" xr:uid="{00000000-0005-0000-0000-0000A5010000}"/>
    <cellStyle name="_KT_TG_2_BAO CAO KLCT PT2000" xfId="432" xr:uid="{00000000-0005-0000-0000-0000A6010000}"/>
    <cellStyle name="_KT_TG_2_BAO CAO PT2000" xfId="433" xr:uid="{00000000-0005-0000-0000-0000A7010000}"/>
    <cellStyle name="_KT_TG_2_BAO CAO PT2000_Book1" xfId="434" xr:uid="{00000000-0005-0000-0000-0000A8010000}"/>
    <cellStyle name="_KT_TG_2_Bao cao XDCB 2001 - T11 KH dieu chinh 20-11-THAI" xfId="435" xr:uid="{00000000-0005-0000-0000-0000A9010000}"/>
    <cellStyle name="_KT_TG_2_BAO GIA NGAY 24-10-08 (co dam)" xfId="436" xr:uid="{00000000-0005-0000-0000-0000AA010000}"/>
    <cellStyle name="_KT_TG_2_Biểu KH 5 năm gửi UB sửa biểu VHXH" xfId="437" xr:uid="{00000000-0005-0000-0000-0000AB010000}"/>
    <cellStyle name="_KT_TG_2_Book1" xfId="438" xr:uid="{00000000-0005-0000-0000-0000AC010000}"/>
    <cellStyle name="_KT_TG_2_Book1_1" xfId="439" xr:uid="{00000000-0005-0000-0000-0000AD010000}"/>
    <cellStyle name="_KT_TG_2_Book1_1_Book1" xfId="440" xr:uid="{00000000-0005-0000-0000-0000AE010000}"/>
    <cellStyle name="_KT_TG_2_Book1_1_DanhMucDonGiaVTTB_Dien_TAM" xfId="441" xr:uid="{00000000-0005-0000-0000-0000AF010000}"/>
    <cellStyle name="_KT_TG_2_Book1_1_khoiluongbdacdoa" xfId="442" xr:uid="{00000000-0005-0000-0000-0000B0010000}"/>
    <cellStyle name="_KT_TG_2_Book1_2" xfId="443" xr:uid="{00000000-0005-0000-0000-0000B1010000}"/>
    <cellStyle name="_KT_TG_2_Book1_2_Book1" xfId="444" xr:uid="{00000000-0005-0000-0000-0000B2010000}"/>
    <cellStyle name="_KT_TG_2_Book1_3" xfId="445" xr:uid="{00000000-0005-0000-0000-0000B3010000}"/>
    <cellStyle name="_KT_TG_2_Book1_3_Book1" xfId="446" xr:uid="{00000000-0005-0000-0000-0000B4010000}"/>
    <cellStyle name="_KT_TG_2_Book1_3_DT truong thinh phu" xfId="447" xr:uid="{00000000-0005-0000-0000-0000B5010000}"/>
    <cellStyle name="_KT_TG_2_Book1_3_XL4Test5" xfId="448" xr:uid="{00000000-0005-0000-0000-0000B6010000}"/>
    <cellStyle name="_KT_TG_2_Book1_4" xfId="449" xr:uid="{00000000-0005-0000-0000-0000B7010000}"/>
    <cellStyle name="_KT_TG_2_Book1_Book1" xfId="450" xr:uid="{00000000-0005-0000-0000-0000B8010000}"/>
    <cellStyle name="_KT_TG_2_Book1_DanhMucDonGiaVTTB_Dien_TAM" xfId="451" xr:uid="{00000000-0005-0000-0000-0000B9010000}"/>
    <cellStyle name="_KT_TG_2_Book1_Kiem Tra Don Gia" xfId="453" xr:uid="{00000000-0005-0000-0000-0000BB010000}"/>
    <cellStyle name="_KT_TG_2_Book1_khoiluongbdacdoa" xfId="452" xr:uid="{00000000-0005-0000-0000-0000BA010000}"/>
    <cellStyle name="_KT_TG_2_Book1_Tong hop 3 tinh (11_5)-TTH-QN-QT" xfId="454" xr:uid="{00000000-0005-0000-0000-0000BC010000}"/>
    <cellStyle name="_KT_TG_2_Book1_" xfId="455" xr:uid="{00000000-0005-0000-0000-0000BD010000}"/>
    <cellStyle name="_KT_TG_2_CAU Khanh Nam(Thi Cong)" xfId="456" xr:uid="{00000000-0005-0000-0000-0000BE010000}"/>
    <cellStyle name="_KT_TG_2_DAU NOI PL-CL TAI PHU LAMHC" xfId="457" xr:uid="{00000000-0005-0000-0000-0000BF010000}"/>
    <cellStyle name="_KT_TG_2_Dcdtoan-bcnckt " xfId="458" xr:uid="{00000000-0005-0000-0000-0000C0010000}"/>
    <cellStyle name="_KT_TG_2_DN_MTP" xfId="459" xr:uid="{00000000-0005-0000-0000-0000C1010000}"/>
    <cellStyle name="_KT_TG_2_Dongia2-2003" xfId="460" xr:uid="{00000000-0005-0000-0000-0000C2010000}"/>
    <cellStyle name="_KT_TG_2_Dongia2-2003_DT truong thinh phu" xfId="461" xr:uid="{00000000-0005-0000-0000-0000C3010000}"/>
    <cellStyle name="_KT_TG_2_DT truong thinh phu" xfId="462" xr:uid="{00000000-0005-0000-0000-0000C4010000}"/>
    <cellStyle name="_KT_TG_2_DTCDT MR.2N110.HOCMON.TDTOAN.CCUNG" xfId="463" xr:uid="{00000000-0005-0000-0000-0000C5010000}"/>
    <cellStyle name="_KT_TG_2_DTDuong dong tien -sua tham tra 2009 - luong 650" xfId="464" xr:uid="{00000000-0005-0000-0000-0000C6010000}"/>
    <cellStyle name="_KT_TG_2_DU TRU VAT TU" xfId="465" xr:uid="{00000000-0005-0000-0000-0000C7010000}"/>
    <cellStyle name="_KT_TG_2_Kiem Tra Don Gia" xfId="467" xr:uid="{00000000-0005-0000-0000-0000C9010000}"/>
    <cellStyle name="_KT_TG_2_khoiluongbdacdoa" xfId="466" xr:uid="{00000000-0005-0000-0000-0000C8010000}"/>
    <cellStyle name="_KT_TG_2_Lora-tungchau" xfId="468" xr:uid="{00000000-0005-0000-0000-0000CA010000}"/>
    <cellStyle name="_KT_TG_2_moi" xfId="469" xr:uid="{00000000-0005-0000-0000-0000CB010000}"/>
    <cellStyle name="_KT_TG_2_PGIA-phieu tham tra Kho bac" xfId="470" xr:uid="{00000000-0005-0000-0000-0000CC010000}"/>
    <cellStyle name="_KT_TG_2_PT02-02" xfId="471" xr:uid="{00000000-0005-0000-0000-0000CD010000}"/>
    <cellStyle name="_KT_TG_2_PT02-02_Book1" xfId="472" xr:uid="{00000000-0005-0000-0000-0000CE010000}"/>
    <cellStyle name="_KT_TG_2_PT02-03" xfId="473" xr:uid="{00000000-0005-0000-0000-0000CF010000}"/>
    <cellStyle name="_KT_TG_2_PT02-03_Book1" xfId="474" xr:uid="{00000000-0005-0000-0000-0000D0010000}"/>
    <cellStyle name="_KT_TG_2_Qt-HT3PQ1(CauKho)" xfId="475" xr:uid="{00000000-0005-0000-0000-0000D1010000}"/>
    <cellStyle name="_KT_TG_2_Qt-HT3PQ1(CauKho)_Book1" xfId="476" xr:uid="{00000000-0005-0000-0000-0000D2010000}"/>
    <cellStyle name="_KT_TG_2_Qt-HT3PQ1(CauKho)_Don gia quy 3 nam 2003 - Ban Dien Luc" xfId="477" xr:uid="{00000000-0005-0000-0000-0000D3010000}"/>
    <cellStyle name="_KT_TG_2_Qt-HT3PQ1(CauKho)_Kiem Tra Don Gia" xfId="478" xr:uid="{00000000-0005-0000-0000-0000D4010000}"/>
    <cellStyle name="_KT_TG_2_Qt-HT3PQ1(CauKho)_NC-VL2-2003" xfId="479" xr:uid="{00000000-0005-0000-0000-0000D5010000}"/>
    <cellStyle name="_KT_TG_2_Qt-HT3PQ1(CauKho)_NC-VL2-2003_1" xfId="480" xr:uid="{00000000-0005-0000-0000-0000D6010000}"/>
    <cellStyle name="_KT_TG_2_Qt-HT3PQ1(CauKho)_XL4Test5" xfId="481" xr:uid="{00000000-0005-0000-0000-0000D7010000}"/>
    <cellStyle name="_KT_TG_2_QT-LCTP-AE" xfId="482" xr:uid="{00000000-0005-0000-0000-0000D8010000}"/>
    <cellStyle name="_KT_TG_2_quy luong con lai nam 2004" xfId="483" xr:uid="{00000000-0005-0000-0000-0000D9010000}"/>
    <cellStyle name="_KT_TG_2_Sheet2" xfId="484" xr:uid="{00000000-0005-0000-0000-0000DA010000}"/>
    <cellStyle name="_KT_TG_2_TEL OUT 2004" xfId="485" xr:uid="{00000000-0005-0000-0000-0000DB010000}"/>
    <cellStyle name="_KT_TG_2_Tong hop 3 tinh (11_5)-TTH-QN-QT" xfId="486" xr:uid="{00000000-0005-0000-0000-0000DC010000}"/>
    <cellStyle name="_KT_TG_2_XL4Poppy" xfId="487" xr:uid="{00000000-0005-0000-0000-0000DD010000}"/>
    <cellStyle name="_KT_TG_2_XL4Test5" xfId="488" xr:uid="{00000000-0005-0000-0000-0000DE010000}"/>
    <cellStyle name="_KT_TG_2_ÿÿÿÿÿ" xfId="489" xr:uid="{00000000-0005-0000-0000-0000DF010000}"/>
    <cellStyle name="_KT_TG_2_" xfId="490" xr:uid="{00000000-0005-0000-0000-0000E0010000}"/>
    <cellStyle name="_KT_TG_3" xfId="491" xr:uid="{00000000-0005-0000-0000-0000E1010000}"/>
    <cellStyle name="_KT_TG_4" xfId="492" xr:uid="{00000000-0005-0000-0000-0000E2010000}"/>
    <cellStyle name="_KT_TG_4_Book1" xfId="493" xr:uid="{00000000-0005-0000-0000-0000E3010000}"/>
    <cellStyle name="_KT_TG_4_Lora-tungchau" xfId="494" xr:uid="{00000000-0005-0000-0000-0000E4010000}"/>
    <cellStyle name="_KT_TG_4_Qt-HT3PQ1(CauKho)" xfId="495" xr:uid="{00000000-0005-0000-0000-0000E5010000}"/>
    <cellStyle name="_KT_TG_4_Qt-HT3PQ1(CauKho)_Book1" xfId="496" xr:uid="{00000000-0005-0000-0000-0000E6010000}"/>
    <cellStyle name="_KT_TG_4_Qt-HT3PQ1(CauKho)_Don gia quy 3 nam 2003 - Ban Dien Luc" xfId="497" xr:uid="{00000000-0005-0000-0000-0000E7010000}"/>
    <cellStyle name="_KT_TG_4_Qt-HT3PQ1(CauKho)_Kiem Tra Don Gia" xfId="498" xr:uid="{00000000-0005-0000-0000-0000E8010000}"/>
    <cellStyle name="_KT_TG_4_Qt-HT3PQ1(CauKho)_NC-VL2-2003" xfId="499" xr:uid="{00000000-0005-0000-0000-0000E9010000}"/>
    <cellStyle name="_KT_TG_4_Qt-HT3PQ1(CauKho)_NC-VL2-2003_1" xfId="500" xr:uid="{00000000-0005-0000-0000-0000EA010000}"/>
    <cellStyle name="_KT_TG_4_Qt-HT3PQ1(CauKho)_XL4Test5" xfId="501" xr:uid="{00000000-0005-0000-0000-0000EB010000}"/>
    <cellStyle name="_KT_TG_4_quy luong con lai nam 2004" xfId="502" xr:uid="{00000000-0005-0000-0000-0000EC010000}"/>
    <cellStyle name="_KT_TG_4_" xfId="503" xr:uid="{00000000-0005-0000-0000-0000ED010000}"/>
    <cellStyle name="_KT_TG_Book1" xfId="504" xr:uid="{00000000-0005-0000-0000-0000EE010000}"/>
    <cellStyle name="_KT_TG_DTDuong dong tien -sua tham tra 2009 - luong 650" xfId="505" xr:uid="{00000000-0005-0000-0000-0000EF010000}"/>
    <cellStyle name="_KT_TG_quy luong con lai nam 2004" xfId="506" xr:uid="{00000000-0005-0000-0000-0000F0010000}"/>
    <cellStyle name="_Kh ql62 (2010) 11-09" xfId="91" xr:uid="{00000000-0005-0000-0000-000051000000}"/>
    <cellStyle name="_KH.DTC.gd2016-2020 tinh (T2-2015)" xfId="92" xr:uid="{00000000-0005-0000-0000-000052000000}"/>
    <cellStyle name="_khoiluongbdacdoa" xfId="93" xr:uid="{00000000-0005-0000-0000-000053000000}"/>
    <cellStyle name="_Lora-tungchau" xfId="507" xr:uid="{00000000-0005-0000-0000-0000F1010000}"/>
    <cellStyle name="_Lora-tungchau_Book1" xfId="508" xr:uid="{00000000-0005-0000-0000-0000F2010000}"/>
    <cellStyle name="_Lora-tungchau_Kiem Tra Don Gia" xfId="509" xr:uid="{00000000-0005-0000-0000-0000F3010000}"/>
    <cellStyle name="_Lora-tungchau_Kiem Tra Don Gia 2" xfId="510" xr:uid="{00000000-0005-0000-0000-0000F4010000}"/>
    <cellStyle name="_MauThanTKKT-goi7-DonGia2143(vl t7)" xfId="511" xr:uid="{00000000-0005-0000-0000-0000F5010000}"/>
    <cellStyle name="_Nhu cau von ung truoc 2011 Tha h Hoa + Nge An gui TW" xfId="512" xr:uid="{00000000-0005-0000-0000-0000F6010000}"/>
    <cellStyle name="_PERSONAL" xfId="513" xr:uid="{00000000-0005-0000-0000-0000F7010000}"/>
    <cellStyle name="_PERSONAL_Book1" xfId="514" xr:uid="{00000000-0005-0000-0000-0000F8010000}"/>
    <cellStyle name="_PERSONAL_HTQ.8 GD1" xfId="515" xr:uid="{00000000-0005-0000-0000-0000F9010000}"/>
    <cellStyle name="_PERSONAL_HTQ.8 GD1_Book1" xfId="516" xr:uid="{00000000-0005-0000-0000-0000FA010000}"/>
    <cellStyle name="_PERSONAL_HTQ.8 GD1_Don gia quy 3 nam 2003 - Ban Dien Luc" xfId="517" xr:uid="{00000000-0005-0000-0000-0000FB010000}"/>
    <cellStyle name="_PERSONAL_HTQ.8 GD1_NC-VL2-2003" xfId="518" xr:uid="{00000000-0005-0000-0000-0000FC010000}"/>
    <cellStyle name="_PERSONAL_HTQ.8 GD1_NC-VL2-2003_1" xfId="519" xr:uid="{00000000-0005-0000-0000-0000FD010000}"/>
    <cellStyle name="_PERSONAL_HTQ.8 GD1_XL4Test5" xfId="520" xr:uid="{00000000-0005-0000-0000-0000FE010000}"/>
    <cellStyle name="_PERSONAL_khoiluongbdacdoa" xfId="521" xr:uid="{00000000-0005-0000-0000-0000FF010000}"/>
    <cellStyle name="_PERSONAL_Tong hop KHCB 2001" xfId="522" xr:uid="{00000000-0005-0000-0000-000000020000}"/>
    <cellStyle name="_PERSONAL_" xfId="523" xr:uid="{00000000-0005-0000-0000-000001020000}"/>
    <cellStyle name="_Phu luc kem BC gui VP Bo (18.2)" xfId="524" xr:uid="{00000000-0005-0000-0000-000002020000}"/>
    <cellStyle name="_Q TOAN  SCTX QL.62 QUI I ( oanh)" xfId="525" xr:uid="{00000000-0005-0000-0000-000003020000}"/>
    <cellStyle name="_Q TOAN  SCTX QL.62 QUI II ( oanh)" xfId="526" xr:uid="{00000000-0005-0000-0000-000004020000}"/>
    <cellStyle name="_QT SCTXQL62_QT1 (Cty QL)" xfId="527" xr:uid="{00000000-0005-0000-0000-000005020000}"/>
    <cellStyle name="_Qt-HT3PQ1(CauKho)" xfId="528" xr:uid="{00000000-0005-0000-0000-000006020000}"/>
    <cellStyle name="_Qt-HT3PQ1(CauKho)_Book1" xfId="529" xr:uid="{00000000-0005-0000-0000-000007020000}"/>
    <cellStyle name="_Qt-HT3PQ1(CauKho)_Don gia quy 3 nam 2003 - Ban Dien Luc" xfId="530" xr:uid="{00000000-0005-0000-0000-000008020000}"/>
    <cellStyle name="_Qt-HT3PQ1(CauKho)_Kiem Tra Don Gia" xfId="531" xr:uid="{00000000-0005-0000-0000-000009020000}"/>
    <cellStyle name="_Qt-HT3PQ1(CauKho)_NC-VL2-2003" xfId="532" xr:uid="{00000000-0005-0000-0000-00000A020000}"/>
    <cellStyle name="_Qt-HT3PQ1(CauKho)_NC-VL2-2003_1" xfId="533" xr:uid="{00000000-0005-0000-0000-00000B020000}"/>
    <cellStyle name="_Qt-HT3PQ1(CauKho)_XL4Test5" xfId="534" xr:uid="{00000000-0005-0000-0000-00000C020000}"/>
    <cellStyle name="_QT-LCTP-AE" xfId="535" xr:uid="{00000000-0005-0000-0000-00000D020000}"/>
    <cellStyle name="_quy luong con lai nam 2004" xfId="536" xr:uid="{00000000-0005-0000-0000-00000E020000}"/>
    <cellStyle name="_Sheet1" xfId="537" xr:uid="{00000000-0005-0000-0000-00000F020000}"/>
    <cellStyle name="_Sheet2" xfId="538" xr:uid="{00000000-0005-0000-0000-000010020000}"/>
    <cellStyle name="_TG-TH" xfId="539" xr:uid="{00000000-0005-0000-0000-000011020000}"/>
    <cellStyle name="_TG-TH_1" xfId="540" xr:uid="{00000000-0005-0000-0000-000012020000}"/>
    <cellStyle name="_TG-TH_1_BANG TONG HOP TINH HINH THANH QUYET TOAN (MOI I)" xfId="541" xr:uid="{00000000-0005-0000-0000-000013020000}"/>
    <cellStyle name="_TG-TH_1_BAO CAO KLCT PT2000" xfId="542" xr:uid="{00000000-0005-0000-0000-000014020000}"/>
    <cellStyle name="_TG-TH_1_BAO CAO PT2000" xfId="543" xr:uid="{00000000-0005-0000-0000-000015020000}"/>
    <cellStyle name="_TG-TH_1_BAO CAO PT2000_Book1" xfId="544" xr:uid="{00000000-0005-0000-0000-000016020000}"/>
    <cellStyle name="_TG-TH_1_Bao cao XDCB 2001 - T11 KH dieu chinh 20-11-THAI" xfId="545" xr:uid="{00000000-0005-0000-0000-000017020000}"/>
    <cellStyle name="_TG-TH_1_BAO GIA NGAY 24-10-08 (co dam)" xfId="546" xr:uid="{00000000-0005-0000-0000-000018020000}"/>
    <cellStyle name="_TG-TH_1_Biểu KH 5 năm gửi UB sửa biểu VHXH" xfId="547" xr:uid="{00000000-0005-0000-0000-000019020000}"/>
    <cellStyle name="_TG-TH_1_Book1" xfId="548" xr:uid="{00000000-0005-0000-0000-00001A020000}"/>
    <cellStyle name="_TG-TH_1_Book1_1" xfId="549" xr:uid="{00000000-0005-0000-0000-00001B020000}"/>
    <cellStyle name="_TG-TH_1_Book1_1_Book1" xfId="550" xr:uid="{00000000-0005-0000-0000-00001C020000}"/>
    <cellStyle name="_TG-TH_1_Book1_1_DanhMucDonGiaVTTB_Dien_TAM" xfId="551" xr:uid="{00000000-0005-0000-0000-00001D020000}"/>
    <cellStyle name="_TG-TH_1_Book1_1_khoiluongbdacdoa" xfId="552" xr:uid="{00000000-0005-0000-0000-00001E020000}"/>
    <cellStyle name="_TG-TH_1_Book1_2" xfId="553" xr:uid="{00000000-0005-0000-0000-00001F020000}"/>
    <cellStyle name="_TG-TH_1_Book1_2_Book1" xfId="554" xr:uid="{00000000-0005-0000-0000-000020020000}"/>
    <cellStyle name="_TG-TH_1_Book1_3" xfId="555" xr:uid="{00000000-0005-0000-0000-000021020000}"/>
    <cellStyle name="_TG-TH_1_Book1_3_Book1" xfId="556" xr:uid="{00000000-0005-0000-0000-000022020000}"/>
    <cellStyle name="_TG-TH_1_Book1_3_DT truong thinh phu" xfId="557" xr:uid="{00000000-0005-0000-0000-000023020000}"/>
    <cellStyle name="_TG-TH_1_Book1_3_XL4Test5" xfId="558" xr:uid="{00000000-0005-0000-0000-000024020000}"/>
    <cellStyle name="_TG-TH_1_Book1_4" xfId="559" xr:uid="{00000000-0005-0000-0000-000025020000}"/>
    <cellStyle name="_TG-TH_1_Book1_BC-QT-WB-dthao" xfId="560" xr:uid="{00000000-0005-0000-0000-000026020000}"/>
    <cellStyle name="_TG-TH_1_Book1_Book1" xfId="561" xr:uid="{00000000-0005-0000-0000-000027020000}"/>
    <cellStyle name="_TG-TH_1_Book1_DanhMucDonGiaVTTB_Dien_TAM" xfId="562" xr:uid="{00000000-0005-0000-0000-000028020000}"/>
    <cellStyle name="_TG-TH_1_Book1_Kiem Tra Don Gia" xfId="564" xr:uid="{00000000-0005-0000-0000-00002A020000}"/>
    <cellStyle name="_TG-TH_1_Book1_khoiluongbdacdoa" xfId="563" xr:uid="{00000000-0005-0000-0000-000029020000}"/>
    <cellStyle name="_TG-TH_1_Book1_Tong hop 3 tinh (11_5)-TTH-QN-QT" xfId="565" xr:uid="{00000000-0005-0000-0000-00002B020000}"/>
    <cellStyle name="_TG-TH_1_Book1_" xfId="566" xr:uid="{00000000-0005-0000-0000-00002C020000}"/>
    <cellStyle name="_TG-TH_1_CAU Khanh Nam(Thi Cong)" xfId="567" xr:uid="{00000000-0005-0000-0000-00002D020000}"/>
    <cellStyle name="_TG-TH_1_DAU NOI PL-CL TAI PHU LAMHC" xfId="568" xr:uid="{00000000-0005-0000-0000-00002E020000}"/>
    <cellStyle name="_TG-TH_1_Dcdtoan-bcnckt " xfId="569" xr:uid="{00000000-0005-0000-0000-00002F020000}"/>
    <cellStyle name="_TG-TH_1_DN_MTP" xfId="570" xr:uid="{00000000-0005-0000-0000-000030020000}"/>
    <cellStyle name="_TG-TH_1_Dongia2-2003" xfId="571" xr:uid="{00000000-0005-0000-0000-000031020000}"/>
    <cellStyle name="_TG-TH_1_Dongia2-2003_DT truong thinh phu" xfId="572" xr:uid="{00000000-0005-0000-0000-000032020000}"/>
    <cellStyle name="_TG-TH_1_DT truong thinh phu" xfId="573" xr:uid="{00000000-0005-0000-0000-000033020000}"/>
    <cellStyle name="_TG-TH_1_DTCDT MR.2N110.HOCMON.TDTOAN.CCUNG" xfId="574" xr:uid="{00000000-0005-0000-0000-000034020000}"/>
    <cellStyle name="_TG-TH_1_DTDuong dong tien -sua tham tra 2009 - luong 650" xfId="575" xr:uid="{00000000-0005-0000-0000-000035020000}"/>
    <cellStyle name="_TG-TH_1_DU TRU VAT TU" xfId="576" xr:uid="{00000000-0005-0000-0000-000036020000}"/>
    <cellStyle name="_TG-TH_1_Kiem Tra Don Gia" xfId="578" xr:uid="{00000000-0005-0000-0000-000038020000}"/>
    <cellStyle name="_TG-TH_1_khoiluongbdacdoa" xfId="577" xr:uid="{00000000-0005-0000-0000-000037020000}"/>
    <cellStyle name="_TG-TH_1_Lora-tungchau" xfId="579" xr:uid="{00000000-0005-0000-0000-000039020000}"/>
    <cellStyle name="_TG-TH_1_moi" xfId="580" xr:uid="{00000000-0005-0000-0000-00003A020000}"/>
    <cellStyle name="_TG-TH_1_PGIA-phieu tham tra Kho bac" xfId="581" xr:uid="{00000000-0005-0000-0000-00003B020000}"/>
    <cellStyle name="_TG-TH_1_PT02-02" xfId="582" xr:uid="{00000000-0005-0000-0000-00003C020000}"/>
    <cellStyle name="_TG-TH_1_PT02-02_Book1" xfId="583" xr:uid="{00000000-0005-0000-0000-00003D020000}"/>
    <cellStyle name="_TG-TH_1_PT02-03" xfId="584" xr:uid="{00000000-0005-0000-0000-00003E020000}"/>
    <cellStyle name="_TG-TH_1_PT02-03_Book1" xfId="585" xr:uid="{00000000-0005-0000-0000-00003F020000}"/>
    <cellStyle name="_TG-TH_1_Qt-HT3PQ1(CauKho)" xfId="586" xr:uid="{00000000-0005-0000-0000-000040020000}"/>
    <cellStyle name="_TG-TH_1_Qt-HT3PQ1(CauKho)_Book1" xfId="587" xr:uid="{00000000-0005-0000-0000-000041020000}"/>
    <cellStyle name="_TG-TH_1_Qt-HT3PQ1(CauKho)_Don gia quy 3 nam 2003 - Ban Dien Luc" xfId="588" xr:uid="{00000000-0005-0000-0000-000042020000}"/>
    <cellStyle name="_TG-TH_1_Qt-HT3PQ1(CauKho)_Kiem Tra Don Gia" xfId="589" xr:uid="{00000000-0005-0000-0000-000043020000}"/>
    <cellStyle name="_TG-TH_1_Qt-HT3PQ1(CauKho)_NC-VL2-2003" xfId="590" xr:uid="{00000000-0005-0000-0000-000044020000}"/>
    <cellStyle name="_TG-TH_1_Qt-HT3PQ1(CauKho)_NC-VL2-2003_1" xfId="591" xr:uid="{00000000-0005-0000-0000-000045020000}"/>
    <cellStyle name="_TG-TH_1_Qt-HT3PQ1(CauKho)_XL4Test5" xfId="592" xr:uid="{00000000-0005-0000-0000-000046020000}"/>
    <cellStyle name="_TG-TH_1_QT-LCTP-AE" xfId="593" xr:uid="{00000000-0005-0000-0000-000047020000}"/>
    <cellStyle name="_TG-TH_1_Sheet2" xfId="594" xr:uid="{00000000-0005-0000-0000-000048020000}"/>
    <cellStyle name="_TG-TH_1_TEL OUT 2004" xfId="595" xr:uid="{00000000-0005-0000-0000-000049020000}"/>
    <cellStyle name="_TG-TH_1_Tong hop 3 tinh (11_5)-TTH-QN-QT" xfId="596" xr:uid="{00000000-0005-0000-0000-00004A020000}"/>
    <cellStyle name="_TG-TH_1_XL4Poppy" xfId="597" xr:uid="{00000000-0005-0000-0000-00004B020000}"/>
    <cellStyle name="_TG-TH_1_XL4Test5" xfId="598" xr:uid="{00000000-0005-0000-0000-00004C020000}"/>
    <cellStyle name="_TG-TH_1_ÿÿÿÿÿ" xfId="599" xr:uid="{00000000-0005-0000-0000-00004D020000}"/>
    <cellStyle name="_TG-TH_1_" xfId="600" xr:uid="{00000000-0005-0000-0000-00004E020000}"/>
    <cellStyle name="_TG-TH_2" xfId="601" xr:uid="{00000000-0005-0000-0000-00004F020000}"/>
    <cellStyle name="_TG-TH_2_BANG TONG HOP TINH HINH THANH QUYET TOAN (MOI I)" xfId="602" xr:uid="{00000000-0005-0000-0000-000050020000}"/>
    <cellStyle name="_TG-TH_2_BAO CAO KLCT PT2000" xfId="603" xr:uid="{00000000-0005-0000-0000-000051020000}"/>
    <cellStyle name="_TG-TH_2_BAO CAO PT2000" xfId="604" xr:uid="{00000000-0005-0000-0000-000052020000}"/>
    <cellStyle name="_TG-TH_2_BAO CAO PT2000_Book1" xfId="605" xr:uid="{00000000-0005-0000-0000-000053020000}"/>
    <cellStyle name="_TG-TH_2_Bao cao XDCB 2001 - T11 KH dieu chinh 20-11-THAI" xfId="606" xr:uid="{00000000-0005-0000-0000-000054020000}"/>
    <cellStyle name="_TG-TH_2_BAO GIA NGAY 24-10-08 (co dam)" xfId="607" xr:uid="{00000000-0005-0000-0000-000055020000}"/>
    <cellStyle name="_TG-TH_2_Biểu KH 5 năm gửi UB sửa biểu VHXH" xfId="608" xr:uid="{00000000-0005-0000-0000-000056020000}"/>
    <cellStyle name="_TG-TH_2_Book1" xfId="609" xr:uid="{00000000-0005-0000-0000-000057020000}"/>
    <cellStyle name="_TG-TH_2_Book1_1" xfId="610" xr:uid="{00000000-0005-0000-0000-000058020000}"/>
    <cellStyle name="_TG-TH_2_Book1_1_Book1" xfId="611" xr:uid="{00000000-0005-0000-0000-000059020000}"/>
    <cellStyle name="_TG-TH_2_Book1_1_DanhMucDonGiaVTTB_Dien_TAM" xfId="612" xr:uid="{00000000-0005-0000-0000-00005A020000}"/>
    <cellStyle name="_TG-TH_2_Book1_1_khoiluongbdacdoa" xfId="613" xr:uid="{00000000-0005-0000-0000-00005B020000}"/>
    <cellStyle name="_TG-TH_2_Book1_2" xfId="614" xr:uid="{00000000-0005-0000-0000-00005C020000}"/>
    <cellStyle name="_TG-TH_2_Book1_2_Book1" xfId="615" xr:uid="{00000000-0005-0000-0000-00005D020000}"/>
    <cellStyle name="_TG-TH_2_Book1_3" xfId="616" xr:uid="{00000000-0005-0000-0000-00005E020000}"/>
    <cellStyle name="_TG-TH_2_Book1_3_Book1" xfId="617" xr:uid="{00000000-0005-0000-0000-00005F020000}"/>
    <cellStyle name="_TG-TH_2_Book1_3_DT truong thinh phu" xfId="618" xr:uid="{00000000-0005-0000-0000-000060020000}"/>
    <cellStyle name="_TG-TH_2_Book1_3_XL4Test5" xfId="619" xr:uid="{00000000-0005-0000-0000-000061020000}"/>
    <cellStyle name="_TG-TH_2_Book1_4" xfId="620" xr:uid="{00000000-0005-0000-0000-000062020000}"/>
    <cellStyle name="_TG-TH_2_Book1_Book1" xfId="621" xr:uid="{00000000-0005-0000-0000-000063020000}"/>
    <cellStyle name="_TG-TH_2_Book1_DanhMucDonGiaVTTB_Dien_TAM" xfId="622" xr:uid="{00000000-0005-0000-0000-000064020000}"/>
    <cellStyle name="_TG-TH_2_Book1_Kiem Tra Don Gia" xfId="624" xr:uid="{00000000-0005-0000-0000-000066020000}"/>
    <cellStyle name="_TG-TH_2_Book1_khoiluongbdacdoa" xfId="623" xr:uid="{00000000-0005-0000-0000-000065020000}"/>
    <cellStyle name="_TG-TH_2_Book1_Tong hop 3 tinh (11_5)-TTH-QN-QT" xfId="625" xr:uid="{00000000-0005-0000-0000-000067020000}"/>
    <cellStyle name="_TG-TH_2_Book1_" xfId="626" xr:uid="{00000000-0005-0000-0000-000068020000}"/>
    <cellStyle name="_TG-TH_2_CAU Khanh Nam(Thi Cong)" xfId="627" xr:uid="{00000000-0005-0000-0000-000069020000}"/>
    <cellStyle name="_TG-TH_2_DAU NOI PL-CL TAI PHU LAMHC" xfId="628" xr:uid="{00000000-0005-0000-0000-00006A020000}"/>
    <cellStyle name="_TG-TH_2_Dcdtoan-bcnckt " xfId="629" xr:uid="{00000000-0005-0000-0000-00006B020000}"/>
    <cellStyle name="_TG-TH_2_DN_MTP" xfId="630" xr:uid="{00000000-0005-0000-0000-00006C020000}"/>
    <cellStyle name="_TG-TH_2_Dongia2-2003" xfId="631" xr:uid="{00000000-0005-0000-0000-00006D020000}"/>
    <cellStyle name="_TG-TH_2_Dongia2-2003_DT truong thinh phu" xfId="632" xr:uid="{00000000-0005-0000-0000-00006E020000}"/>
    <cellStyle name="_TG-TH_2_DT truong thinh phu" xfId="633" xr:uid="{00000000-0005-0000-0000-00006F020000}"/>
    <cellStyle name="_TG-TH_2_DTCDT MR.2N110.HOCMON.TDTOAN.CCUNG" xfId="634" xr:uid="{00000000-0005-0000-0000-000070020000}"/>
    <cellStyle name="_TG-TH_2_DTDuong dong tien -sua tham tra 2009 - luong 650" xfId="635" xr:uid="{00000000-0005-0000-0000-000071020000}"/>
    <cellStyle name="_TG-TH_2_DU TRU VAT TU" xfId="636" xr:uid="{00000000-0005-0000-0000-000072020000}"/>
    <cellStyle name="_TG-TH_2_Kiem Tra Don Gia" xfId="638" xr:uid="{00000000-0005-0000-0000-000074020000}"/>
    <cellStyle name="_TG-TH_2_khoiluongbdacdoa" xfId="637" xr:uid="{00000000-0005-0000-0000-000073020000}"/>
    <cellStyle name="_TG-TH_2_Lora-tungchau" xfId="639" xr:uid="{00000000-0005-0000-0000-000075020000}"/>
    <cellStyle name="_TG-TH_2_moi" xfId="640" xr:uid="{00000000-0005-0000-0000-000076020000}"/>
    <cellStyle name="_TG-TH_2_PGIA-phieu tham tra Kho bac" xfId="641" xr:uid="{00000000-0005-0000-0000-000077020000}"/>
    <cellStyle name="_TG-TH_2_PT02-02" xfId="642" xr:uid="{00000000-0005-0000-0000-000078020000}"/>
    <cellStyle name="_TG-TH_2_PT02-02_Book1" xfId="643" xr:uid="{00000000-0005-0000-0000-000079020000}"/>
    <cellStyle name="_TG-TH_2_PT02-03" xfId="644" xr:uid="{00000000-0005-0000-0000-00007A020000}"/>
    <cellStyle name="_TG-TH_2_PT02-03_Book1" xfId="645" xr:uid="{00000000-0005-0000-0000-00007B020000}"/>
    <cellStyle name="_TG-TH_2_Qt-HT3PQ1(CauKho)" xfId="646" xr:uid="{00000000-0005-0000-0000-00007C020000}"/>
    <cellStyle name="_TG-TH_2_Qt-HT3PQ1(CauKho)_Book1" xfId="647" xr:uid="{00000000-0005-0000-0000-00007D020000}"/>
    <cellStyle name="_TG-TH_2_Qt-HT3PQ1(CauKho)_Don gia quy 3 nam 2003 - Ban Dien Luc" xfId="648" xr:uid="{00000000-0005-0000-0000-00007E020000}"/>
    <cellStyle name="_TG-TH_2_Qt-HT3PQ1(CauKho)_Kiem Tra Don Gia" xfId="649" xr:uid="{00000000-0005-0000-0000-00007F020000}"/>
    <cellStyle name="_TG-TH_2_Qt-HT3PQ1(CauKho)_NC-VL2-2003" xfId="650" xr:uid="{00000000-0005-0000-0000-000080020000}"/>
    <cellStyle name="_TG-TH_2_Qt-HT3PQ1(CauKho)_NC-VL2-2003_1" xfId="651" xr:uid="{00000000-0005-0000-0000-000081020000}"/>
    <cellStyle name="_TG-TH_2_Qt-HT3PQ1(CauKho)_XL4Test5" xfId="652" xr:uid="{00000000-0005-0000-0000-000082020000}"/>
    <cellStyle name="_TG-TH_2_QT-LCTP-AE" xfId="653" xr:uid="{00000000-0005-0000-0000-000083020000}"/>
    <cellStyle name="_TG-TH_2_quy luong con lai nam 2004" xfId="654" xr:uid="{00000000-0005-0000-0000-000084020000}"/>
    <cellStyle name="_TG-TH_2_Sheet2" xfId="655" xr:uid="{00000000-0005-0000-0000-000085020000}"/>
    <cellStyle name="_TG-TH_2_TEL OUT 2004" xfId="656" xr:uid="{00000000-0005-0000-0000-000086020000}"/>
    <cellStyle name="_TG-TH_2_Tong hop 3 tinh (11_5)-TTH-QN-QT" xfId="657" xr:uid="{00000000-0005-0000-0000-000087020000}"/>
    <cellStyle name="_TG-TH_2_XL4Poppy" xfId="658" xr:uid="{00000000-0005-0000-0000-000088020000}"/>
    <cellStyle name="_TG-TH_2_XL4Test5" xfId="659" xr:uid="{00000000-0005-0000-0000-000089020000}"/>
    <cellStyle name="_TG-TH_2_ÿÿÿÿÿ" xfId="660" xr:uid="{00000000-0005-0000-0000-00008A020000}"/>
    <cellStyle name="_TG-TH_2_" xfId="661" xr:uid="{00000000-0005-0000-0000-00008B020000}"/>
    <cellStyle name="_TG-TH_3" xfId="662" xr:uid="{00000000-0005-0000-0000-00008C020000}"/>
    <cellStyle name="_TG-TH_3_Book1" xfId="663" xr:uid="{00000000-0005-0000-0000-00008D020000}"/>
    <cellStyle name="_TG-TH_3_Lora-tungchau" xfId="664" xr:uid="{00000000-0005-0000-0000-00008E020000}"/>
    <cellStyle name="_TG-TH_3_Qt-HT3PQ1(CauKho)" xfId="665" xr:uid="{00000000-0005-0000-0000-00008F020000}"/>
    <cellStyle name="_TG-TH_3_Qt-HT3PQ1(CauKho)_Book1" xfId="666" xr:uid="{00000000-0005-0000-0000-000090020000}"/>
    <cellStyle name="_TG-TH_3_Qt-HT3PQ1(CauKho)_Don gia quy 3 nam 2003 - Ban Dien Luc" xfId="667" xr:uid="{00000000-0005-0000-0000-000091020000}"/>
    <cellStyle name="_TG-TH_3_Qt-HT3PQ1(CauKho)_Kiem Tra Don Gia" xfId="668" xr:uid="{00000000-0005-0000-0000-000092020000}"/>
    <cellStyle name="_TG-TH_3_Qt-HT3PQ1(CauKho)_NC-VL2-2003" xfId="669" xr:uid="{00000000-0005-0000-0000-000093020000}"/>
    <cellStyle name="_TG-TH_3_Qt-HT3PQ1(CauKho)_NC-VL2-2003_1" xfId="670" xr:uid="{00000000-0005-0000-0000-000094020000}"/>
    <cellStyle name="_TG-TH_3_Qt-HT3PQ1(CauKho)_XL4Test5" xfId="671" xr:uid="{00000000-0005-0000-0000-000095020000}"/>
    <cellStyle name="_TG-TH_3_quy luong con lai nam 2004" xfId="672" xr:uid="{00000000-0005-0000-0000-000096020000}"/>
    <cellStyle name="_TG-TH_3_" xfId="673" xr:uid="{00000000-0005-0000-0000-000097020000}"/>
    <cellStyle name="_TG-TH_4" xfId="674" xr:uid="{00000000-0005-0000-0000-000098020000}"/>
    <cellStyle name="_TG-TH_4_Book1" xfId="675" xr:uid="{00000000-0005-0000-0000-000099020000}"/>
    <cellStyle name="_TG-TH_4_DTDuong dong tien -sua tham tra 2009 - luong 650" xfId="676" xr:uid="{00000000-0005-0000-0000-00009A020000}"/>
    <cellStyle name="_TG-TH_4_quy luong con lai nam 2004" xfId="677" xr:uid="{00000000-0005-0000-0000-00009B020000}"/>
    <cellStyle name="_TKP" xfId="679" xr:uid="{00000000-0005-0000-0000-00009D020000}"/>
    <cellStyle name="_Tong dutoan PP LAHAI" xfId="680" xr:uid="{00000000-0005-0000-0000-00009E020000}"/>
    <cellStyle name="_Tong hop 3 tinh (11_5)-TTH-QN-QT" xfId="681" xr:uid="{00000000-0005-0000-0000-00009F020000}"/>
    <cellStyle name="_Tong hop may cheu nganh 1" xfId="682" xr:uid="{00000000-0005-0000-0000-0000A0020000}"/>
    <cellStyle name="_TH KHAI TOAN THU THIEM cac tuyen TT noi" xfId="678" xr:uid="{00000000-0005-0000-0000-00009C020000}"/>
    <cellStyle name="_ung 2011 - 11-6-Thanh hoa-Nghe an" xfId="683" xr:uid="{00000000-0005-0000-0000-0000A1020000}"/>
    <cellStyle name="_ung truoc 2011 NSTW Thanh Hoa + Nge An gui Thu 12-5" xfId="684" xr:uid="{00000000-0005-0000-0000-0000A2020000}"/>
    <cellStyle name="_ung truoc cua long an (6-5-2010)" xfId="685" xr:uid="{00000000-0005-0000-0000-0000A3020000}"/>
    <cellStyle name="_ung von chinh thuc doan kiem tra TAY NAM BO" xfId="686" xr:uid="{00000000-0005-0000-0000-0000A4020000}"/>
    <cellStyle name="_Ung von nam 2011 vung TNB - Doan Cong tac (12-5-2010)" xfId="687" xr:uid="{00000000-0005-0000-0000-0000A5020000}"/>
    <cellStyle name="_Ung von nam 2011 vung TNB - Doan Cong tac (12-5-2010)_Copy of ghep 3 bieu trinh LD BO 28-6 (TPCP)" xfId="688" xr:uid="{00000000-0005-0000-0000-0000A6020000}"/>
    <cellStyle name="_ÿÿÿÿÿ" xfId="689" xr:uid="{00000000-0005-0000-0000-0000A7020000}"/>
    <cellStyle name="_ÿÿÿÿÿ_Kh ql62 (2010) 11-09" xfId="690" xr:uid="{00000000-0005-0000-0000-0000A8020000}"/>
    <cellStyle name="_" xfId="691" xr:uid="{00000000-0005-0000-0000-0000A9020000}"/>
    <cellStyle name="__1" xfId="692" xr:uid="{00000000-0005-0000-0000-0000AA020000}"/>
    <cellStyle name="__Bao gia TB Kon Dao 2010" xfId="693" xr:uid="{00000000-0005-0000-0000-0000AB020000}"/>
    <cellStyle name="~1" xfId="694" xr:uid="{00000000-0005-0000-0000-0000AC020000}"/>
    <cellStyle name="’Ê‰Ý [0.00]_laroux" xfId="695" xr:uid="{00000000-0005-0000-0000-0000AD020000}"/>
    <cellStyle name="’Ê‰Ý_laroux" xfId="696" xr:uid="{00000000-0005-0000-0000-0000AE020000}"/>
    <cellStyle name="•W?_Format" xfId="697" xr:uid="{00000000-0005-0000-0000-0000AF020000}"/>
    <cellStyle name="•W€_¯–ì" xfId="698" xr:uid="{00000000-0005-0000-0000-0000B0020000}"/>
    <cellStyle name="•W_¯–ì" xfId="699" xr:uid="{00000000-0005-0000-0000-0000B1020000}"/>
    <cellStyle name="W_MARINE" xfId="700" xr:uid="{00000000-0005-0000-0000-0000B2020000}"/>
    <cellStyle name="0" xfId="701" xr:uid="{00000000-0005-0000-0000-0000B3020000}"/>
    <cellStyle name="0 2" xfId="702" xr:uid="{00000000-0005-0000-0000-0000B4020000}"/>
    <cellStyle name="0 2 2" xfId="703" xr:uid="{00000000-0005-0000-0000-0000B5020000}"/>
    <cellStyle name="0 3" xfId="704" xr:uid="{00000000-0005-0000-0000-0000B6020000}"/>
    <cellStyle name="0 3 2" xfId="705" xr:uid="{00000000-0005-0000-0000-0000B7020000}"/>
    <cellStyle name="0 4" xfId="706" xr:uid="{00000000-0005-0000-0000-0000B8020000}"/>
    <cellStyle name="0.0" xfId="707" xr:uid="{00000000-0005-0000-0000-0000B9020000}"/>
    <cellStyle name="0.0 2" xfId="708" xr:uid="{00000000-0005-0000-0000-0000BA020000}"/>
    <cellStyle name="0.0 2 2" xfId="709" xr:uid="{00000000-0005-0000-0000-0000BB020000}"/>
    <cellStyle name="0.0 3" xfId="710" xr:uid="{00000000-0005-0000-0000-0000BC020000}"/>
    <cellStyle name="0.0 3 2" xfId="711" xr:uid="{00000000-0005-0000-0000-0000BD020000}"/>
    <cellStyle name="0.0 4" xfId="712" xr:uid="{00000000-0005-0000-0000-0000BE020000}"/>
    <cellStyle name="0.00" xfId="713" xr:uid="{00000000-0005-0000-0000-0000BF020000}"/>
    <cellStyle name="0.00 2" xfId="714" xr:uid="{00000000-0005-0000-0000-0000C0020000}"/>
    <cellStyle name="0.00 2 2" xfId="715" xr:uid="{00000000-0005-0000-0000-0000C1020000}"/>
    <cellStyle name="0.00 3" xfId="716" xr:uid="{00000000-0005-0000-0000-0000C2020000}"/>
    <cellStyle name="0.00 3 2" xfId="717" xr:uid="{00000000-0005-0000-0000-0000C3020000}"/>
    <cellStyle name="0.00 4" xfId="718" xr:uid="{00000000-0005-0000-0000-0000C4020000}"/>
    <cellStyle name="1" xfId="719" xr:uid="{00000000-0005-0000-0000-0000C5020000}"/>
    <cellStyle name="1_17 bieu (hung cap nhap)" xfId="720" xr:uid="{00000000-0005-0000-0000-0000C6020000}"/>
    <cellStyle name="1_17 bieu (hung cap nhap) 2" xfId="721" xr:uid="{00000000-0005-0000-0000-0000C7020000}"/>
    <cellStyle name="1_17 bieu (hung cap nhap) 3" xfId="722" xr:uid="{00000000-0005-0000-0000-0000C8020000}"/>
    <cellStyle name="1_2-Ha GiangBB2011-V1" xfId="723" xr:uid="{00000000-0005-0000-0000-0000C9020000}"/>
    <cellStyle name="1_50-BB Vung tau 2011" xfId="724" xr:uid="{00000000-0005-0000-0000-0000CA020000}"/>
    <cellStyle name="1_52-Long An2011.BB-V1" xfId="725" xr:uid="{00000000-0005-0000-0000-0000CB020000}"/>
    <cellStyle name="1_7 noi 48 goi C5 9 vi na" xfId="726" xr:uid="{00000000-0005-0000-0000-0000CC020000}"/>
    <cellStyle name="1_BANG KE VAT TU" xfId="727" xr:uid="{00000000-0005-0000-0000-0000CD020000}"/>
    <cellStyle name="1_Bao cao doan cong tac cua Bo thang 4-2010" xfId="728" xr:uid="{00000000-0005-0000-0000-0000CE020000}"/>
    <cellStyle name="1_Bao cao doan cong tac cua Bo thang 4-2010 2" xfId="729" xr:uid="{00000000-0005-0000-0000-0000CF020000}"/>
    <cellStyle name="1_Bao cao giai ngan von dau tu nam 2009 (theo doi)" xfId="730" xr:uid="{00000000-0005-0000-0000-0000D0020000}"/>
    <cellStyle name="1_Bao cao giai ngan von dau tu nam 2009 (theo doi) 2" xfId="731" xr:uid="{00000000-0005-0000-0000-0000D1020000}"/>
    <cellStyle name="1_Bao cao giai ngan von dau tu nam 2009 (theo doi)_Bao cao doan cong tac cua Bo thang 4-2010" xfId="732" xr:uid="{00000000-0005-0000-0000-0000D2020000}"/>
    <cellStyle name="1_Bao cao giai ngan von dau tu nam 2009 (theo doi)_Bao cao doan cong tac cua Bo thang 4-2010 2" xfId="733" xr:uid="{00000000-0005-0000-0000-0000D3020000}"/>
    <cellStyle name="1_Bao cao giai ngan von dau tu nam 2009 (theo doi)_Ke hoach 2009 (theo doi) -1" xfId="734" xr:uid="{00000000-0005-0000-0000-0000D4020000}"/>
    <cellStyle name="1_Bao cao giai ngan von dau tu nam 2009 (theo doi)_Ke hoach 2009 (theo doi) -1 2" xfId="735" xr:uid="{00000000-0005-0000-0000-0000D5020000}"/>
    <cellStyle name="1_Bao cao KP tu chu" xfId="736" xr:uid="{00000000-0005-0000-0000-0000D6020000}"/>
    <cellStyle name="1_BAO GIA NGAY 24-10-08 (co dam)" xfId="737" xr:uid="{00000000-0005-0000-0000-0000D7020000}"/>
    <cellStyle name="1_Bao gia TB Kon Dao 2010" xfId="738" xr:uid="{00000000-0005-0000-0000-0000D8020000}"/>
    <cellStyle name="1_BC 8 thang 2009 ve CT trong diem 5nam" xfId="739" xr:uid="{00000000-0005-0000-0000-0000D9020000}"/>
    <cellStyle name="1_BC 8 thang 2009 ve CT trong diem 5nam 2" xfId="740" xr:uid="{00000000-0005-0000-0000-0000DA020000}"/>
    <cellStyle name="1_BC 8 thang 2009 ve CT trong diem 5nam_Bao cao doan cong tac cua Bo thang 4-2010" xfId="741" xr:uid="{00000000-0005-0000-0000-0000DB020000}"/>
    <cellStyle name="1_BC 8 thang 2009 ve CT trong diem 5nam_Bao cao doan cong tac cua Bo thang 4-2010 2" xfId="742" xr:uid="{00000000-0005-0000-0000-0000DC020000}"/>
    <cellStyle name="1_BC 8 thang 2009 ve CT trong diem 5nam_bieu 01" xfId="743" xr:uid="{00000000-0005-0000-0000-0000DD020000}"/>
    <cellStyle name="1_BC 8 thang 2009 ve CT trong diem 5nam_bieu 01 2" xfId="744" xr:uid="{00000000-0005-0000-0000-0000DE020000}"/>
    <cellStyle name="1_BC 8 thang 2009 ve CT trong diem 5nam_bieu 01_Bao cao doan cong tac cua Bo thang 4-2010" xfId="745" xr:uid="{00000000-0005-0000-0000-0000DF020000}"/>
    <cellStyle name="1_BC 8 thang 2009 ve CT trong diem 5nam_bieu 01_Bao cao doan cong tac cua Bo thang 4-2010 2" xfId="746" xr:uid="{00000000-0005-0000-0000-0000E0020000}"/>
    <cellStyle name="1_BC nam 2007 (UB)" xfId="747" xr:uid="{00000000-0005-0000-0000-0000E1020000}"/>
    <cellStyle name="1_BC nam 2007 (UB) 2" xfId="748" xr:uid="{00000000-0005-0000-0000-0000E2020000}"/>
    <cellStyle name="1_BC nam 2007 (UB)_Bao cao doan cong tac cua Bo thang 4-2010" xfId="749" xr:uid="{00000000-0005-0000-0000-0000E3020000}"/>
    <cellStyle name="1_BC nam 2007 (UB)_Bao cao doan cong tac cua Bo thang 4-2010 2" xfId="750" xr:uid="{00000000-0005-0000-0000-0000E4020000}"/>
    <cellStyle name="1_bieu 1" xfId="751" xr:uid="{00000000-0005-0000-0000-0000E5020000}"/>
    <cellStyle name="1_bieu 2" xfId="752" xr:uid="{00000000-0005-0000-0000-0000E6020000}"/>
    <cellStyle name="1_bieu 4" xfId="753" xr:uid="{00000000-0005-0000-0000-0000E7020000}"/>
    <cellStyle name="1_bieu tong hop" xfId="754" xr:uid="{00000000-0005-0000-0000-0000E8020000}"/>
    <cellStyle name="1_Book1" xfId="755" xr:uid="{00000000-0005-0000-0000-0000E9020000}"/>
    <cellStyle name="1_Book1_1" xfId="756" xr:uid="{00000000-0005-0000-0000-0000EA020000}"/>
    <cellStyle name="1_Book1_1 2" xfId="757" xr:uid="{00000000-0005-0000-0000-0000EB020000}"/>
    <cellStyle name="1_Book1_1_VBPL kiểm toán Đầu tư XDCB 2010" xfId="758" xr:uid="{00000000-0005-0000-0000-0000EC020000}"/>
    <cellStyle name="1_Book1_Bao cao doan cong tac cua Bo thang 4-2010" xfId="759" xr:uid="{00000000-0005-0000-0000-0000ED020000}"/>
    <cellStyle name="1_Book1_Bao cao doan cong tac cua Bo thang 4-2010 2" xfId="760" xr:uid="{00000000-0005-0000-0000-0000EE020000}"/>
    <cellStyle name="1_Book1_BL vu" xfId="761" xr:uid="{00000000-0005-0000-0000-0000EF020000}"/>
    <cellStyle name="1_Book1_Book1" xfId="762" xr:uid="{00000000-0005-0000-0000-0000F0020000}"/>
    <cellStyle name="1_Book1_Book1 2" xfId="763" xr:uid="{00000000-0005-0000-0000-0000F1020000}"/>
    <cellStyle name="1_Book1_Gia - Thanh An" xfId="764" xr:uid="{00000000-0005-0000-0000-0000F2020000}"/>
    <cellStyle name="1_Book1_VBPL kiểm toán Đầu tư XDCB 2010" xfId="765" xr:uid="{00000000-0005-0000-0000-0000F3020000}"/>
    <cellStyle name="1_Book2" xfId="766" xr:uid="{00000000-0005-0000-0000-0000F4020000}"/>
    <cellStyle name="1_Book2 2" xfId="767" xr:uid="{00000000-0005-0000-0000-0000F5020000}"/>
    <cellStyle name="1_Book2_Bao cao doan cong tac cua Bo thang 4-2010" xfId="768" xr:uid="{00000000-0005-0000-0000-0000F6020000}"/>
    <cellStyle name="1_Book2_Bao cao doan cong tac cua Bo thang 4-2010 2" xfId="769" xr:uid="{00000000-0005-0000-0000-0000F7020000}"/>
    <cellStyle name="1_Cau thuy dien Ban La (Cu Anh)" xfId="770" xr:uid="{00000000-0005-0000-0000-0000F8020000}"/>
    <cellStyle name="1_Copy of ghep 3 bieu trinh LD BO 28-6 (TPCP)" xfId="771" xr:uid="{00000000-0005-0000-0000-0000F9020000}"/>
    <cellStyle name="1_Danh sach gui BC thuc hien KH2009" xfId="772" xr:uid="{00000000-0005-0000-0000-0000FA020000}"/>
    <cellStyle name="1_Danh sach gui BC thuc hien KH2009 2" xfId="773" xr:uid="{00000000-0005-0000-0000-0000FB020000}"/>
    <cellStyle name="1_Danh sach gui BC thuc hien KH2009_Bao cao doan cong tac cua Bo thang 4-2010" xfId="774" xr:uid="{00000000-0005-0000-0000-0000FC020000}"/>
    <cellStyle name="1_Danh sach gui BC thuc hien KH2009_Bao cao doan cong tac cua Bo thang 4-2010 2" xfId="775" xr:uid="{00000000-0005-0000-0000-0000FD020000}"/>
    <cellStyle name="1_Danh sach gui BC thuc hien KH2009_Ke hoach 2009 (theo doi) -1" xfId="776" xr:uid="{00000000-0005-0000-0000-0000FE020000}"/>
    <cellStyle name="1_Danh sach gui BC thuc hien KH2009_Ke hoach 2009 (theo doi) -1 2" xfId="777" xr:uid="{00000000-0005-0000-0000-0000FF020000}"/>
    <cellStyle name="1_Don gia Du thau ( XL19)" xfId="778" xr:uid="{00000000-0005-0000-0000-000000030000}"/>
    <cellStyle name="1_Don gia Du thau ( XL19) 2" xfId="779" xr:uid="{00000000-0005-0000-0000-000001030000}"/>
    <cellStyle name="1_DT972000" xfId="780" xr:uid="{00000000-0005-0000-0000-000002030000}"/>
    <cellStyle name="1_dtCau Km3+429,21TL685" xfId="781" xr:uid="{00000000-0005-0000-0000-000003030000}"/>
    <cellStyle name="1_Dtdchinh2397" xfId="782" xr:uid="{00000000-0005-0000-0000-000004030000}"/>
    <cellStyle name="1_Du toan 558 (Km17+508.12 - Km 22)" xfId="784" xr:uid="{00000000-0005-0000-0000-000006030000}"/>
    <cellStyle name="1_du toan lan 3" xfId="785" xr:uid="{00000000-0005-0000-0000-000007030000}"/>
    <cellStyle name="1_Du thau" xfId="783" xr:uid="{00000000-0005-0000-0000-000005030000}"/>
    <cellStyle name="1_Gia - Thanh An" xfId="786" xr:uid="{00000000-0005-0000-0000-000008030000}"/>
    <cellStyle name="1_Gia_VLQL48_duyet " xfId="787" xr:uid="{00000000-0005-0000-0000-000009030000}"/>
    <cellStyle name="1_GIA-DUTHAUsuaNS" xfId="788" xr:uid="{00000000-0005-0000-0000-00000A030000}"/>
    <cellStyle name="1_KL km 0-km3+300 dieu chinh 4-2008" xfId="795" xr:uid="{00000000-0005-0000-0000-000011030000}"/>
    <cellStyle name="1_KLNM 1303" xfId="796" xr:uid="{00000000-0005-0000-0000-000012030000}"/>
    <cellStyle name="1_KlQdinhduyet" xfId="797" xr:uid="{00000000-0005-0000-0000-000013030000}"/>
    <cellStyle name="1_KH 2007 (theo doi)" xfId="789" xr:uid="{00000000-0005-0000-0000-00000B030000}"/>
    <cellStyle name="1_KH 2007 (theo doi) 2" xfId="790" xr:uid="{00000000-0005-0000-0000-00000C030000}"/>
    <cellStyle name="1_KH 2007 (theo doi)_Bao cao doan cong tac cua Bo thang 4-2010" xfId="791" xr:uid="{00000000-0005-0000-0000-00000D030000}"/>
    <cellStyle name="1_KH 2007 (theo doi)_Bao cao doan cong tac cua Bo thang 4-2010 2" xfId="792" xr:uid="{00000000-0005-0000-0000-00000E030000}"/>
    <cellStyle name="1_Kh ql62 (2010) 11-09" xfId="793" xr:uid="{00000000-0005-0000-0000-00000F030000}"/>
    <cellStyle name="1_khoiluongbdacdoa" xfId="794" xr:uid="{00000000-0005-0000-0000-000010030000}"/>
    <cellStyle name="1_LuuNgay17-03-2009Đơn KN Cục thuế" xfId="798" xr:uid="{00000000-0005-0000-0000-000014030000}"/>
    <cellStyle name="1_NTHOC" xfId="799" xr:uid="{00000000-0005-0000-0000-000015030000}"/>
    <cellStyle name="1_NTHOC 2" xfId="800" xr:uid="{00000000-0005-0000-0000-000016030000}"/>
    <cellStyle name="1_NTHOC_Tong hop theo doi von TPCP" xfId="801" xr:uid="{00000000-0005-0000-0000-000017030000}"/>
    <cellStyle name="1_NTHOC_Tong hop theo doi von TPCP 2" xfId="802" xr:uid="{00000000-0005-0000-0000-000018030000}"/>
    <cellStyle name="1_NTHOC_Tong hop theo doi von TPCP_Bao cao kiem toan kh 2010" xfId="803" xr:uid="{00000000-0005-0000-0000-000019030000}"/>
    <cellStyle name="1_NTHOC_Tong hop theo doi von TPCP_Bao cao kiem toan kh 2010 2" xfId="804" xr:uid="{00000000-0005-0000-0000-00001A030000}"/>
    <cellStyle name="1_NTHOC_Tong hop theo doi von TPCP_Ke hoach 2010 (theo doi)2" xfId="805" xr:uid="{00000000-0005-0000-0000-00001B030000}"/>
    <cellStyle name="1_NTHOC_Tong hop theo doi von TPCP_Ke hoach 2010 (theo doi)2 2" xfId="806" xr:uid="{00000000-0005-0000-0000-00001C030000}"/>
    <cellStyle name="1_NTHOC_Tong hop theo doi von TPCP_QD UBND tinh" xfId="807" xr:uid="{00000000-0005-0000-0000-00001D030000}"/>
    <cellStyle name="1_NTHOC_Tong hop theo doi von TPCP_QD UBND tinh 2" xfId="808" xr:uid="{00000000-0005-0000-0000-00001E030000}"/>
    <cellStyle name="1_NTHOC_Tong hop theo doi von TPCP_Worksheet in D: My Documents Luc Van ban xu ly Nam 2011 Bao cao ra soat tam ung TPCP" xfId="809" xr:uid="{00000000-0005-0000-0000-00001F030000}"/>
    <cellStyle name="1_NTHOC_Tong hop theo doi von TPCP_Worksheet in D: My Documents Luc Van ban xu ly Nam 2011 Bao cao ra soat tam ung TPCP 2" xfId="810" xr:uid="{00000000-0005-0000-0000-000020030000}"/>
    <cellStyle name="1_QT Thue GTGT 2008" xfId="811" xr:uid="{00000000-0005-0000-0000-000021030000}"/>
    <cellStyle name="1_Ra soat Giai ngan 2007 (dang lam)" xfId="812" xr:uid="{00000000-0005-0000-0000-000022030000}"/>
    <cellStyle name="1_Ra soat Giai ngan 2007 (dang lam) 2" xfId="813" xr:uid="{00000000-0005-0000-0000-000023030000}"/>
    <cellStyle name="1_TonghopKL_BOY-sual2" xfId="818" xr:uid="{00000000-0005-0000-0000-000028030000}"/>
    <cellStyle name="1_Theo doi von TPCP (dang lam)" xfId="814" xr:uid="{00000000-0005-0000-0000-000024030000}"/>
    <cellStyle name="1_Theo doi von TPCP (dang lam) 2" xfId="815" xr:uid="{00000000-0005-0000-0000-000025030000}"/>
    <cellStyle name="1_Thong ke cong" xfId="816" xr:uid="{00000000-0005-0000-0000-000026030000}"/>
    <cellStyle name="1_thong ke giao dan sinh" xfId="817" xr:uid="{00000000-0005-0000-0000-000027030000}"/>
    <cellStyle name="1_TRUNG PMU 5" xfId="819" xr:uid="{00000000-0005-0000-0000-000029030000}"/>
    <cellStyle name="1_VBPL kiểm toán Đầu tư XDCB 2010" xfId="820" xr:uid="{00000000-0005-0000-0000-00002A030000}"/>
    <cellStyle name="1_ÿÿÿÿÿ" xfId="821" xr:uid="{00000000-0005-0000-0000-00002B030000}"/>
    <cellStyle name="1_ÿÿÿÿÿ 2" xfId="822" xr:uid="{00000000-0005-0000-0000-00002C030000}"/>
    <cellStyle name="1_ÿÿÿÿÿ_Bieu tong hop nhu cau ung 2011 da chon loc -Mien nui" xfId="823" xr:uid="{00000000-0005-0000-0000-00002D030000}"/>
    <cellStyle name="1_ÿÿÿÿÿ_Bieu tong hop nhu cau ung 2011 da chon loc -Mien nui 2" xfId="824" xr:uid="{00000000-0005-0000-0000-00002E030000}"/>
    <cellStyle name="1_ÿÿÿÿÿ_Kh ql62 (2010) 11-09" xfId="825" xr:uid="{00000000-0005-0000-0000-00002F030000}"/>
    <cellStyle name="1_ÿÿÿÿÿ_mau bieu doan giam sat 2010 (version 2)" xfId="826" xr:uid="{00000000-0005-0000-0000-000030030000}"/>
    <cellStyle name="1_ÿÿÿÿÿ_mau bieu doan giam sat 2010 (version 2) 2" xfId="827" xr:uid="{00000000-0005-0000-0000-000031030000}"/>
    <cellStyle name="1_ÿÿÿÿÿ_VBPL kiểm toán Đầu tư XDCB 2010" xfId="828" xr:uid="{00000000-0005-0000-0000-000032030000}"/>
    <cellStyle name="1_" xfId="829" xr:uid="{00000000-0005-0000-0000-000033030000}"/>
    <cellStyle name="15" xfId="830" xr:uid="{00000000-0005-0000-0000-000034030000}"/>
    <cellStyle name="18" xfId="831" xr:uid="{00000000-0005-0000-0000-000035030000}"/>
    <cellStyle name="¹éºÐÀ²_      " xfId="832" xr:uid="{00000000-0005-0000-0000-000036030000}"/>
    <cellStyle name="2" xfId="833" xr:uid="{00000000-0005-0000-0000-000037030000}"/>
    <cellStyle name="2_7 noi 48 goi C5 9 vi na" xfId="834" xr:uid="{00000000-0005-0000-0000-000038030000}"/>
    <cellStyle name="2_BL vu" xfId="835" xr:uid="{00000000-0005-0000-0000-000039030000}"/>
    <cellStyle name="2_Book1" xfId="836" xr:uid="{00000000-0005-0000-0000-00003A030000}"/>
    <cellStyle name="2_Book1 2" xfId="837" xr:uid="{00000000-0005-0000-0000-00003B030000}"/>
    <cellStyle name="2_Book1_1" xfId="838" xr:uid="{00000000-0005-0000-0000-00003C030000}"/>
    <cellStyle name="2_Book1_Bao cao kiem toan kh 2010" xfId="839" xr:uid="{00000000-0005-0000-0000-00003D030000}"/>
    <cellStyle name="2_Book1_Bao cao kiem toan kh 2010 2" xfId="840" xr:uid="{00000000-0005-0000-0000-00003E030000}"/>
    <cellStyle name="2_Book1_Ke hoach 2010 (theo doi)2" xfId="841" xr:uid="{00000000-0005-0000-0000-00003F030000}"/>
    <cellStyle name="2_Book1_Ke hoach 2010 (theo doi)2 2" xfId="842" xr:uid="{00000000-0005-0000-0000-000040030000}"/>
    <cellStyle name="2_Book1_QD UBND tinh" xfId="843" xr:uid="{00000000-0005-0000-0000-000041030000}"/>
    <cellStyle name="2_Book1_QD UBND tinh 2" xfId="844" xr:uid="{00000000-0005-0000-0000-000042030000}"/>
    <cellStyle name="2_Book1_VBPL kiểm toán Đầu tư XDCB 2010" xfId="845" xr:uid="{00000000-0005-0000-0000-000043030000}"/>
    <cellStyle name="2_Book1_Worksheet in D: My Documents Luc Van ban xu ly Nam 2011 Bao cao ra soat tam ung TPCP" xfId="846" xr:uid="{00000000-0005-0000-0000-000044030000}"/>
    <cellStyle name="2_Book1_Worksheet in D: My Documents Luc Van ban xu ly Nam 2011 Bao cao ra soat tam ung TPCP 2" xfId="847" xr:uid="{00000000-0005-0000-0000-000045030000}"/>
    <cellStyle name="2_Cau thuy dien Ban La (Cu Anh)" xfId="848" xr:uid="{00000000-0005-0000-0000-000046030000}"/>
    <cellStyle name="2_Dtdchinh2397" xfId="849" xr:uid="{00000000-0005-0000-0000-000047030000}"/>
    <cellStyle name="2_Du toan 558 (Km17+508.12 - Km 22)" xfId="850" xr:uid="{00000000-0005-0000-0000-000048030000}"/>
    <cellStyle name="2_Gia_VLQL48_duyet " xfId="851" xr:uid="{00000000-0005-0000-0000-000049030000}"/>
    <cellStyle name="2_KLNM 1303" xfId="852" xr:uid="{00000000-0005-0000-0000-00004A030000}"/>
    <cellStyle name="2_KlQdinhduyet" xfId="853" xr:uid="{00000000-0005-0000-0000-00004B030000}"/>
    <cellStyle name="2_NTHOC" xfId="854" xr:uid="{00000000-0005-0000-0000-00004C030000}"/>
    <cellStyle name="2_NTHOC 2" xfId="855" xr:uid="{00000000-0005-0000-0000-00004D030000}"/>
    <cellStyle name="2_NTHOC_Tong hop theo doi von TPCP" xfId="856" xr:uid="{00000000-0005-0000-0000-00004E030000}"/>
    <cellStyle name="2_NTHOC_Tong hop theo doi von TPCP 2" xfId="857" xr:uid="{00000000-0005-0000-0000-00004F030000}"/>
    <cellStyle name="2_NTHOC_Tong hop theo doi von TPCP_Bao cao kiem toan kh 2010" xfId="858" xr:uid="{00000000-0005-0000-0000-000050030000}"/>
    <cellStyle name="2_NTHOC_Tong hop theo doi von TPCP_Bao cao kiem toan kh 2010 2" xfId="859" xr:uid="{00000000-0005-0000-0000-000051030000}"/>
    <cellStyle name="2_NTHOC_Tong hop theo doi von TPCP_Ke hoach 2010 (theo doi)2" xfId="860" xr:uid="{00000000-0005-0000-0000-000052030000}"/>
    <cellStyle name="2_NTHOC_Tong hop theo doi von TPCP_Ke hoach 2010 (theo doi)2 2" xfId="861" xr:uid="{00000000-0005-0000-0000-000053030000}"/>
    <cellStyle name="2_NTHOC_Tong hop theo doi von TPCP_QD UBND tinh" xfId="862" xr:uid="{00000000-0005-0000-0000-000054030000}"/>
    <cellStyle name="2_NTHOC_Tong hop theo doi von TPCP_QD UBND tinh 2" xfId="863" xr:uid="{00000000-0005-0000-0000-000055030000}"/>
    <cellStyle name="2_NTHOC_Tong hop theo doi von TPCP_Worksheet in D: My Documents Luc Van ban xu ly Nam 2011 Bao cao ra soat tam ung TPCP" xfId="864" xr:uid="{00000000-0005-0000-0000-000056030000}"/>
    <cellStyle name="2_NTHOC_Tong hop theo doi von TPCP_Worksheet in D: My Documents Luc Van ban xu ly Nam 2011 Bao cao ra soat tam ung TPCP 2" xfId="865" xr:uid="{00000000-0005-0000-0000-000057030000}"/>
    <cellStyle name="2_Tong hop theo doi von TPCP" xfId="868" xr:uid="{00000000-0005-0000-0000-00005A030000}"/>
    <cellStyle name="2_Tong hop theo doi von TPCP 2" xfId="869" xr:uid="{00000000-0005-0000-0000-00005B030000}"/>
    <cellStyle name="2_Tong hop theo doi von TPCP_Bao cao kiem toan kh 2010" xfId="870" xr:uid="{00000000-0005-0000-0000-00005C030000}"/>
    <cellStyle name="2_Tong hop theo doi von TPCP_Bao cao kiem toan kh 2010 2" xfId="871" xr:uid="{00000000-0005-0000-0000-00005D030000}"/>
    <cellStyle name="2_Tong hop theo doi von TPCP_Ke hoach 2010 (theo doi)2" xfId="872" xr:uid="{00000000-0005-0000-0000-00005E030000}"/>
    <cellStyle name="2_Tong hop theo doi von TPCP_Ke hoach 2010 (theo doi)2 2" xfId="873" xr:uid="{00000000-0005-0000-0000-00005F030000}"/>
    <cellStyle name="2_Tong hop theo doi von TPCP_QD UBND tinh" xfId="874" xr:uid="{00000000-0005-0000-0000-000060030000}"/>
    <cellStyle name="2_Tong hop theo doi von TPCP_QD UBND tinh 2" xfId="875" xr:uid="{00000000-0005-0000-0000-000061030000}"/>
    <cellStyle name="2_Tong hop theo doi von TPCP_Worksheet in D: My Documents Luc Van ban xu ly Nam 2011 Bao cao ra soat tam ung TPCP" xfId="876" xr:uid="{00000000-0005-0000-0000-000062030000}"/>
    <cellStyle name="2_Tong hop theo doi von TPCP_Worksheet in D: My Documents Luc Van ban xu ly Nam 2011 Bao cao ra soat tam ung TPCP 2" xfId="877" xr:uid="{00000000-0005-0000-0000-000063030000}"/>
    <cellStyle name="2_Thong ke cong" xfId="866" xr:uid="{00000000-0005-0000-0000-000058030000}"/>
    <cellStyle name="2_thong ke giao dan sinh" xfId="867" xr:uid="{00000000-0005-0000-0000-000059030000}"/>
    <cellStyle name="2_TRUNG PMU 5" xfId="878" xr:uid="{00000000-0005-0000-0000-000064030000}"/>
    <cellStyle name="2_VBPL kiểm toán Đầu tư XDCB 2010" xfId="879" xr:uid="{00000000-0005-0000-0000-000065030000}"/>
    <cellStyle name="2_ÿÿÿÿÿ" xfId="880" xr:uid="{00000000-0005-0000-0000-000066030000}"/>
    <cellStyle name="2_ÿÿÿÿÿ_Bieu tong hop nhu cau ung 2011 da chon loc -Mien nui" xfId="881" xr:uid="{00000000-0005-0000-0000-000067030000}"/>
    <cellStyle name="2_ÿÿÿÿÿ_Bieu tong hop nhu cau ung 2011 da chon loc -Mien nui 2" xfId="882" xr:uid="{00000000-0005-0000-0000-000068030000}"/>
    <cellStyle name="2_ÿÿÿÿÿ_mau bieu doan giam sat 2010 (version 2)" xfId="883" xr:uid="{00000000-0005-0000-0000-000069030000}"/>
    <cellStyle name="2_ÿÿÿÿÿ_mau bieu doan giam sat 2010 (version 2) 2" xfId="884" xr:uid="{00000000-0005-0000-0000-00006A030000}"/>
    <cellStyle name="20" xfId="885" xr:uid="{00000000-0005-0000-0000-00006B030000}"/>
    <cellStyle name="20% - Accent1 2" xfId="886" xr:uid="{00000000-0005-0000-0000-00006C030000}"/>
    <cellStyle name="20% - Accent1 3" xfId="887" xr:uid="{00000000-0005-0000-0000-00006D030000}"/>
    <cellStyle name="20% - Accent2 2" xfId="888" xr:uid="{00000000-0005-0000-0000-00006E030000}"/>
    <cellStyle name="20% - Accent2 3" xfId="889" xr:uid="{00000000-0005-0000-0000-00006F030000}"/>
    <cellStyle name="20% - Accent3 2" xfId="890" xr:uid="{00000000-0005-0000-0000-000070030000}"/>
    <cellStyle name="20% - Accent3 3" xfId="891" xr:uid="{00000000-0005-0000-0000-000071030000}"/>
    <cellStyle name="20% - Accent4 2" xfId="892" xr:uid="{00000000-0005-0000-0000-000072030000}"/>
    <cellStyle name="20% - Accent4 3" xfId="893" xr:uid="{00000000-0005-0000-0000-000073030000}"/>
    <cellStyle name="20% - Accent5 2" xfId="894" xr:uid="{00000000-0005-0000-0000-000074030000}"/>
    <cellStyle name="20% - Accent5 3" xfId="895" xr:uid="{00000000-0005-0000-0000-000075030000}"/>
    <cellStyle name="20% - Accent6 2" xfId="896" xr:uid="{00000000-0005-0000-0000-000076030000}"/>
    <cellStyle name="20% - Accent6 3" xfId="897" xr:uid="{00000000-0005-0000-0000-000077030000}"/>
    <cellStyle name="20% - Nhấn1" xfId="898" xr:uid="{00000000-0005-0000-0000-000078030000}"/>
    <cellStyle name="20% - Nhấn2" xfId="899" xr:uid="{00000000-0005-0000-0000-000079030000}"/>
    <cellStyle name="20% - Nhấn3" xfId="900" xr:uid="{00000000-0005-0000-0000-00007A030000}"/>
    <cellStyle name="20% - Nhấn4" xfId="901" xr:uid="{00000000-0005-0000-0000-00007B030000}"/>
    <cellStyle name="20% - Nhấn5" xfId="902" xr:uid="{00000000-0005-0000-0000-00007C030000}"/>
    <cellStyle name="20% - Nhấn6" xfId="903" xr:uid="{00000000-0005-0000-0000-00007D030000}"/>
    <cellStyle name="-2001" xfId="904" xr:uid="{00000000-0005-0000-0000-00007E030000}"/>
    <cellStyle name="3" xfId="905" xr:uid="{00000000-0005-0000-0000-00007F030000}"/>
    <cellStyle name="3_7 noi 48 goi C5 9 vi na" xfId="906" xr:uid="{00000000-0005-0000-0000-000080030000}"/>
    <cellStyle name="3_Book1" xfId="907" xr:uid="{00000000-0005-0000-0000-000081030000}"/>
    <cellStyle name="3_Book1_1" xfId="908" xr:uid="{00000000-0005-0000-0000-000082030000}"/>
    <cellStyle name="3_Cau thuy dien Ban La (Cu Anh)" xfId="909" xr:uid="{00000000-0005-0000-0000-000083030000}"/>
    <cellStyle name="3_Dtdchinh2397" xfId="910" xr:uid="{00000000-0005-0000-0000-000084030000}"/>
    <cellStyle name="3_Du toan 558 (Km17+508.12 - Km 22)" xfId="911" xr:uid="{00000000-0005-0000-0000-000085030000}"/>
    <cellStyle name="3_Gia_VLQL48_duyet " xfId="912" xr:uid="{00000000-0005-0000-0000-000086030000}"/>
    <cellStyle name="3_KLNM 1303" xfId="913" xr:uid="{00000000-0005-0000-0000-000087030000}"/>
    <cellStyle name="3_KlQdinhduyet" xfId="914" xr:uid="{00000000-0005-0000-0000-000088030000}"/>
    <cellStyle name="3_Thong ke cong" xfId="915" xr:uid="{00000000-0005-0000-0000-000089030000}"/>
    <cellStyle name="3_thong ke giao dan sinh" xfId="916" xr:uid="{00000000-0005-0000-0000-00008A030000}"/>
    <cellStyle name="3_VBPL kiểm toán Đầu tư XDCB 2010" xfId="917" xr:uid="{00000000-0005-0000-0000-00008B030000}"/>
    <cellStyle name="3_ÿÿÿÿÿ" xfId="918" xr:uid="{00000000-0005-0000-0000-00008C030000}"/>
    <cellStyle name="4" xfId="919" xr:uid="{00000000-0005-0000-0000-00008D030000}"/>
    <cellStyle name="4_7 noi 48 goi C5 9 vi na" xfId="920" xr:uid="{00000000-0005-0000-0000-00008E030000}"/>
    <cellStyle name="4_Book1" xfId="921" xr:uid="{00000000-0005-0000-0000-00008F030000}"/>
    <cellStyle name="4_Book1_1" xfId="922" xr:uid="{00000000-0005-0000-0000-000090030000}"/>
    <cellStyle name="4_Cau thuy dien Ban La (Cu Anh)" xfId="923" xr:uid="{00000000-0005-0000-0000-000091030000}"/>
    <cellStyle name="4_Dtdchinh2397" xfId="924" xr:uid="{00000000-0005-0000-0000-000092030000}"/>
    <cellStyle name="4_Du toan 558 (Km17+508.12 - Km 22)" xfId="925" xr:uid="{00000000-0005-0000-0000-000093030000}"/>
    <cellStyle name="4_Gia_VLQL48_duyet " xfId="926" xr:uid="{00000000-0005-0000-0000-000094030000}"/>
    <cellStyle name="4_KLNM 1303" xfId="927" xr:uid="{00000000-0005-0000-0000-000095030000}"/>
    <cellStyle name="4_KlQdinhduyet" xfId="928" xr:uid="{00000000-0005-0000-0000-000096030000}"/>
    <cellStyle name="4_Thong ke cong" xfId="929" xr:uid="{00000000-0005-0000-0000-000097030000}"/>
    <cellStyle name="4_thong ke giao dan sinh" xfId="930" xr:uid="{00000000-0005-0000-0000-000098030000}"/>
    <cellStyle name="4_ÿÿÿÿÿ" xfId="931" xr:uid="{00000000-0005-0000-0000-000099030000}"/>
    <cellStyle name="40% - Accent1 2" xfId="932" xr:uid="{00000000-0005-0000-0000-00009A030000}"/>
    <cellStyle name="40% - Accent1 3" xfId="933" xr:uid="{00000000-0005-0000-0000-00009B030000}"/>
    <cellStyle name="40% - Accent2 2" xfId="934" xr:uid="{00000000-0005-0000-0000-00009C030000}"/>
    <cellStyle name="40% - Accent2 3" xfId="935" xr:uid="{00000000-0005-0000-0000-00009D030000}"/>
    <cellStyle name="40% - Accent3 2" xfId="936" xr:uid="{00000000-0005-0000-0000-00009E030000}"/>
    <cellStyle name="40% - Accent3 3" xfId="937" xr:uid="{00000000-0005-0000-0000-00009F030000}"/>
    <cellStyle name="40% - Accent4 2" xfId="938" xr:uid="{00000000-0005-0000-0000-0000A0030000}"/>
    <cellStyle name="40% - Accent4 3" xfId="939" xr:uid="{00000000-0005-0000-0000-0000A1030000}"/>
    <cellStyle name="40% - Accent5 2" xfId="940" xr:uid="{00000000-0005-0000-0000-0000A2030000}"/>
    <cellStyle name="40% - Accent5 3" xfId="941" xr:uid="{00000000-0005-0000-0000-0000A3030000}"/>
    <cellStyle name="40% - Accent6 2" xfId="942" xr:uid="{00000000-0005-0000-0000-0000A4030000}"/>
    <cellStyle name="40% - Accent6 3" xfId="943" xr:uid="{00000000-0005-0000-0000-0000A5030000}"/>
    <cellStyle name="40% - Nhấn1" xfId="944" xr:uid="{00000000-0005-0000-0000-0000A6030000}"/>
    <cellStyle name="40% - Nhấn2" xfId="945" xr:uid="{00000000-0005-0000-0000-0000A7030000}"/>
    <cellStyle name="40% - Nhấn3" xfId="946" xr:uid="{00000000-0005-0000-0000-0000A8030000}"/>
    <cellStyle name="40% - Nhấn4" xfId="947" xr:uid="{00000000-0005-0000-0000-0000A9030000}"/>
    <cellStyle name="40% - Nhấn5" xfId="948" xr:uid="{00000000-0005-0000-0000-0000AA030000}"/>
    <cellStyle name="40% - Nhấn6" xfId="949" xr:uid="{00000000-0005-0000-0000-0000AB030000}"/>
    <cellStyle name="6" xfId="950" xr:uid="{00000000-0005-0000-0000-0000AC030000}"/>
    <cellStyle name="6_Bieu mau ung 2011-Mien Trung-TPCP-11-6" xfId="951" xr:uid="{00000000-0005-0000-0000-0000AD030000}"/>
    <cellStyle name="6_Copy of ghep 3 bieu trinh LD BO 28-6 (TPCP)" xfId="952" xr:uid="{00000000-0005-0000-0000-0000AE030000}"/>
    <cellStyle name="6_DTDuong dong tien -sua tham tra 2009 - luong 650" xfId="953" xr:uid="{00000000-0005-0000-0000-0000AF030000}"/>
    <cellStyle name="6_Nhu cau tam ung NSNN&amp;TPCP&amp;ODA theo tieu chi cua Bo (CV410_BKH-TH)_vung Tay Nguyen (11.6.2010)" xfId="954" xr:uid="{00000000-0005-0000-0000-0000B0030000}"/>
    <cellStyle name="60% - Accent1 2" xfId="955" xr:uid="{00000000-0005-0000-0000-0000B1030000}"/>
    <cellStyle name="60% - Accent1 3" xfId="956" xr:uid="{00000000-0005-0000-0000-0000B2030000}"/>
    <cellStyle name="60% - Accent2 2" xfId="957" xr:uid="{00000000-0005-0000-0000-0000B3030000}"/>
    <cellStyle name="60% - Accent2 3" xfId="958" xr:uid="{00000000-0005-0000-0000-0000B4030000}"/>
    <cellStyle name="60% - Accent3 2" xfId="959" xr:uid="{00000000-0005-0000-0000-0000B5030000}"/>
    <cellStyle name="60% - Accent3 3" xfId="960" xr:uid="{00000000-0005-0000-0000-0000B6030000}"/>
    <cellStyle name="60% - Accent4 2" xfId="961" xr:uid="{00000000-0005-0000-0000-0000B7030000}"/>
    <cellStyle name="60% - Accent4 3" xfId="962" xr:uid="{00000000-0005-0000-0000-0000B8030000}"/>
    <cellStyle name="60% - Accent5 2" xfId="963" xr:uid="{00000000-0005-0000-0000-0000B9030000}"/>
    <cellStyle name="60% - Accent5 3" xfId="964" xr:uid="{00000000-0005-0000-0000-0000BA030000}"/>
    <cellStyle name="60% - Accent6 2" xfId="965" xr:uid="{00000000-0005-0000-0000-0000BB030000}"/>
    <cellStyle name="60% - Accent6 3" xfId="966" xr:uid="{00000000-0005-0000-0000-0000BC030000}"/>
    <cellStyle name="60% - Nhấn1" xfId="967" xr:uid="{00000000-0005-0000-0000-0000BD030000}"/>
    <cellStyle name="60% - Nhấn2" xfId="968" xr:uid="{00000000-0005-0000-0000-0000BE030000}"/>
    <cellStyle name="60% - Nhấn3" xfId="969" xr:uid="{00000000-0005-0000-0000-0000BF030000}"/>
    <cellStyle name="60% - Nhấn4" xfId="970" xr:uid="{00000000-0005-0000-0000-0000C0030000}"/>
    <cellStyle name="60% - Nhấn5" xfId="971" xr:uid="{00000000-0005-0000-0000-0000C1030000}"/>
    <cellStyle name="60% - Nhấn6" xfId="972" xr:uid="{00000000-0005-0000-0000-0000C2030000}"/>
    <cellStyle name="9" xfId="973" xr:uid="{00000000-0005-0000-0000-0000C3030000}"/>
    <cellStyle name="Accent1 2" xfId="974" xr:uid="{00000000-0005-0000-0000-0000C4030000}"/>
    <cellStyle name="Accent1 3" xfId="975" xr:uid="{00000000-0005-0000-0000-0000C5030000}"/>
    <cellStyle name="Accent2 2" xfId="976" xr:uid="{00000000-0005-0000-0000-0000C6030000}"/>
    <cellStyle name="Accent2 3" xfId="977" xr:uid="{00000000-0005-0000-0000-0000C7030000}"/>
    <cellStyle name="Accent3 2" xfId="978" xr:uid="{00000000-0005-0000-0000-0000C8030000}"/>
    <cellStyle name="Accent3 3" xfId="979" xr:uid="{00000000-0005-0000-0000-0000C9030000}"/>
    <cellStyle name="Accent4 2" xfId="980" xr:uid="{00000000-0005-0000-0000-0000CA030000}"/>
    <cellStyle name="Accent4 3" xfId="981" xr:uid="{00000000-0005-0000-0000-0000CB030000}"/>
    <cellStyle name="Accent5 2" xfId="982" xr:uid="{00000000-0005-0000-0000-0000CC030000}"/>
    <cellStyle name="Accent5 3" xfId="983" xr:uid="{00000000-0005-0000-0000-0000CD030000}"/>
    <cellStyle name="Accent6 2" xfId="984" xr:uid="{00000000-0005-0000-0000-0000CE030000}"/>
    <cellStyle name="Accent6 3" xfId="985" xr:uid="{00000000-0005-0000-0000-0000CF030000}"/>
    <cellStyle name="ÅëÈ­ [0]_      " xfId="986" xr:uid="{00000000-0005-0000-0000-0000D0030000}"/>
    <cellStyle name="AeE­ [0]_INQUIRY ¿?¾÷AßAø " xfId="987" xr:uid="{00000000-0005-0000-0000-0000D1030000}"/>
    <cellStyle name="ÅëÈ­ [0]_L601CPT" xfId="988" xr:uid="{00000000-0005-0000-0000-0000D2030000}"/>
    <cellStyle name="ÅëÈ­_      " xfId="989" xr:uid="{00000000-0005-0000-0000-0000D3030000}"/>
    <cellStyle name="AeE­_INQUIRY ¿?¾÷AßAø " xfId="990" xr:uid="{00000000-0005-0000-0000-0000D4030000}"/>
    <cellStyle name="ÅëÈ­_L601CPT" xfId="991" xr:uid="{00000000-0005-0000-0000-0000D5030000}"/>
    <cellStyle name="args.style" xfId="992" xr:uid="{00000000-0005-0000-0000-0000D6030000}"/>
    <cellStyle name="at" xfId="993" xr:uid="{00000000-0005-0000-0000-0000D7030000}"/>
    <cellStyle name="ÄÞ¸¶ [0]_      " xfId="994" xr:uid="{00000000-0005-0000-0000-0000D8030000}"/>
    <cellStyle name="AÞ¸¶ [0]_INQUIRY ¿?¾÷AßAø " xfId="995" xr:uid="{00000000-0005-0000-0000-0000D9030000}"/>
    <cellStyle name="ÄÞ¸¶ [0]_L601CPT" xfId="996" xr:uid="{00000000-0005-0000-0000-0000DA030000}"/>
    <cellStyle name="ÄÞ¸¶_      " xfId="997" xr:uid="{00000000-0005-0000-0000-0000DB030000}"/>
    <cellStyle name="AÞ¸¶_INQUIRY ¿?¾÷AßAø " xfId="998" xr:uid="{00000000-0005-0000-0000-0000DC030000}"/>
    <cellStyle name="ÄÞ¸¶_L601CPT" xfId="999" xr:uid="{00000000-0005-0000-0000-0000DD030000}"/>
    <cellStyle name="AutoFormat Options" xfId="1000" xr:uid="{00000000-0005-0000-0000-0000DE030000}"/>
    <cellStyle name="AutoFormat-Optionen" xfId="1001" xr:uid="{00000000-0005-0000-0000-0000DF030000}"/>
    <cellStyle name="AutoFormat-Optionen 2" xfId="1002" xr:uid="{00000000-0005-0000-0000-0000E0030000}"/>
    <cellStyle name="AutoFormat-Optionen 2 2" xfId="4" xr:uid="{00000000-0005-0000-0000-0000E1030000}"/>
    <cellStyle name="AutoFormat-Optionen 3" xfId="1003" xr:uid="{00000000-0005-0000-0000-0000E2030000}"/>
    <cellStyle name="AutoFormat-Optionen 4" xfId="1004" xr:uid="{00000000-0005-0000-0000-0000E3030000}"/>
    <cellStyle name="AutoFormat-Optionen_2. Du toan chi tiet nam 2018" xfId="1005" xr:uid="{00000000-0005-0000-0000-0000E4030000}"/>
    <cellStyle name="Bad 2" xfId="1006" xr:uid="{00000000-0005-0000-0000-0000E5030000}"/>
    <cellStyle name="Bad 3" xfId="1007" xr:uid="{00000000-0005-0000-0000-0000E6030000}"/>
    <cellStyle name="Body" xfId="1008" xr:uid="{00000000-0005-0000-0000-0000E7030000}"/>
    <cellStyle name="C?AØ_¿?¾÷CoE² " xfId="1009" xr:uid="{00000000-0005-0000-0000-0000E8030000}"/>
    <cellStyle name="C~1" xfId="1010" xr:uid="{00000000-0005-0000-0000-0000E9030000}"/>
    <cellStyle name="Ç¥ÁØ_      " xfId="1011" xr:uid="{00000000-0005-0000-0000-0000EA030000}"/>
    <cellStyle name="C￥AØ_¿μ¾÷CoE² " xfId="1012" xr:uid="{00000000-0005-0000-0000-0000EB030000}"/>
    <cellStyle name="Ç¥ÁØ_±¸¹Ì´ëÃ¥" xfId="1013" xr:uid="{00000000-0005-0000-0000-0000EC030000}"/>
    <cellStyle name="C￥AØ_Sheet1_¿μ¾÷CoE² " xfId="1014" xr:uid="{00000000-0005-0000-0000-0000ED030000}"/>
    <cellStyle name="Ç¥ÁØ_ÿÿÿÿÿÿ_4_ÃÑÇÕ°è " xfId="1015" xr:uid="{00000000-0005-0000-0000-0000EE030000}"/>
    <cellStyle name="Calc Currency (0)" xfId="1016" xr:uid="{00000000-0005-0000-0000-0000EF030000}"/>
    <cellStyle name="Calc Currency (2)" xfId="1017" xr:uid="{00000000-0005-0000-0000-0000F0030000}"/>
    <cellStyle name="Calc Percent (0)" xfId="1018" xr:uid="{00000000-0005-0000-0000-0000F1030000}"/>
    <cellStyle name="Calc Percent (1)" xfId="1019" xr:uid="{00000000-0005-0000-0000-0000F2030000}"/>
    <cellStyle name="Calc Percent (2)" xfId="1020" xr:uid="{00000000-0005-0000-0000-0000F3030000}"/>
    <cellStyle name="Calc Units (0)" xfId="1021" xr:uid="{00000000-0005-0000-0000-0000F4030000}"/>
    <cellStyle name="Calc Units (1)" xfId="1022" xr:uid="{00000000-0005-0000-0000-0000F5030000}"/>
    <cellStyle name="Calc Units (2)" xfId="1023" xr:uid="{00000000-0005-0000-0000-0000F6030000}"/>
    <cellStyle name="Calculation 2" xfId="1024" xr:uid="{00000000-0005-0000-0000-0000F7030000}"/>
    <cellStyle name="Calculation 2 2" xfId="1025" xr:uid="{00000000-0005-0000-0000-0000F8030000}"/>
    <cellStyle name="Calculation 3" xfId="1026" xr:uid="{00000000-0005-0000-0000-0000F9030000}"/>
    <cellStyle name="category" xfId="1027" xr:uid="{00000000-0005-0000-0000-0000FA030000}"/>
    <cellStyle name="Cerrency_Sheet2_XANGDAU" xfId="1028" xr:uid="{00000000-0005-0000-0000-0000FB030000}"/>
    <cellStyle name="Co?ma_Sheet1" xfId="1037" xr:uid="{00000000-0005-0000-0000-000004040000}"/>
    <cellStyle name="Comma" xfId="1" builtinId="3"/>
    <cellStyle name="Comma  - Style1" xfId="1038" xr:uid="{00000000-0005-0000-0000-000006040000}"/>
    <cellStyle name="Comma  - Style2" xfId="1039" xr:uid="{00000000-0005-0000-0000-000007040000}"/>
    <cellStyle name="Comma  - Style3" xfId="1040" xr:uid="{00000000-0005-0000-0000-000008040000}"/>
    <cellStyle name="Comma  - Style4" xfId="1041" xr:uid="{00000000-0005-0000-0000-000009040000}"/>
    <cellStyle name="Comma  - Style5" xfId="1042" xr:uid="{00000000-0005-0000-0000-00000A040000}"/>
    <cellStyle name="Comma  - Style6" xfId="1043" xr:uid="{00000000-0005-0000-0000-00000B040000}"/>
    <cellStyle name="Comma  - Style7" xfId="1044" xr:uid="{00000000-0005-0000-0000-00000C040000}"/>
    <cellStyle name="Comma  - Style8" xfId="1045" xr:uid="{00000000-0005-0000-0000-00000D040000}"/>
    <cellStyle name="Comma [0] 2" xfId="1046" xr:uid="{00000000-0005-0000-0000-00000E040000}"/>
    <cellStyle name="Comma [0] 2 10" xfId="1047" xr:uid="{00000000-0005-0000-0000-00000F040000}"/>
    <cellStyle name="Comma [0] 3" xfId="1048" xr:uid="{00000000-0005-0000-0000-000010040000}"/>
    <cellStyle name="Comma [0] 4" xfId="1049" xr:uid="{00000000-0005-0000-0000-000011040000}"/>
    <cellStyle name="Comma [0] 5" xfId="1050" xr:uid="{00000000-0005-0000-0000-000012040000}"/>
    <cellStyle name="Comma [0] 8 2" xfId="1051" xr:uid="{00000000-0005-0000-0000-000013040000}"/>
    <cellStyle name="Comma [00]" xfId="1052" xr:uid="{00000000-0005-0000-0000-000014040000}"/>
    <cellStyle name="Comma 10" xfId="1053" xr:uid="{00000000-0005-0000-0000-000015040000}"/>
    <cellStyle name="Comma 10 10" xfId="1054" xr:uid="{00000000-0005-0000-0000-000016040000}"/>
    <cellStyle name="Comma 10 2" xfId="2" xr:uid="{00000000-0005-0000-0000-000017040000}"/>
    <cellStyle name="Comma 10 2 2" xfId="1055" xr:uid="{00000000-0005-0000-0000-000018040000}"/>
    <cellStyle name="Comma 10 3" xfId="3" xr:uid="{00000000-0005-0000-0000-000019040000}"/>
    <cellStyle name="Comma 11" xfId="1056" xr:uid="{00000000-0005-0000-0000-00001A040000}"/>
    <cellStyle name="Comma 12" xfId="1057" xr:uid="{00000000-0005-0000-0000-00001B040000}"/>
    <cellStyle name="Comma 13" xfId="1058" xr:uid="{00000000-0005-0000-0000-00001C040000}"/>
    <cellStyle name="Comma 14" xfId="1059" xr:uid="{00000000-0005-0000-0000-00001D040000}"/>
    <cellStyle name="Comma 14 3" xfId="1060" xr:uid="{00000000-0005-0000-0000-00001E040000}"/>
    <cellStyle name="Comma 15" xfId="1061" xr:uid="{00000000-0005-0000-0000-00001F040000}"/>
    <cellStyle name="Comma 16" xfId="1062" xr:uid="{00000000-0005-0000-0000-000020040000}"/>
    <cellStyle name="Comma 16 2" xfId="1063" xr:uid="{00000000-0005-0000-0000-000021040000}"/>
    <cellStyle name="Comma 16 3 3 2 2" xfId="1064" xr:uid="{00000000-0005-0000-0000-000022040000}"/>
    <cellStyle name="Comma 17" xfId="1065" xr:uid="{00000000-0005-0000-0000-000023040000}"/>
    <cellStyle name="Comma 18" xfId="1066" xr:uid="{00000000-0005-0000-0000-000024040000}"/>
    <cellStyle name="Comma 19" xfId="1067" xr:uid="{00000000-0005-0000-0000-000025040000}"/>
    <cellStyle name="Comma 2" xfId="5" xr:uid="{00000000-0005-0000-0000-000026040000}"/>
    <cellStyle name="Comma 2 2" xfId="1068" xr:uid="{00000000-0005-0000-0000-000027040000}"/>
    <cellStyle name="Comma 2 2 2 10" xfId="1069" xr:uid="{00000000-0005-0000-0000-000028040000}"/>
    <cellStyle name="Comma 2 28" xfId="1070" xr:uid="{00000000-0005-0000-0000-000029040000}"/>
    <cellStyle name="Comma 2 3" xfId="1071" xr:uid="{00000000-0005-0000-0000-00002A040000}"/>
    <cellStyle name="Comma 2 3 2" xfId="1072" xr:uid="{00000000-0005-0000-0000-00002B040000}"/>
    <cellStyle name="Comma 2 3 3" xfId="1073" xr:uid="{00000000-0005-0000-0000-00002C040000}"/>
    <cellStyle name="Comma 2 4" xfId="1074" xr:uid="{00000000-0005-0000-0000-00002D040000}"/>
    <cellStyle name="Comma 2 5" xfId="1075" xr:uid="{00000000-0005-0000-0000-00002E040000}"/>
    <cellStyle name="Comma 2_bieu 1" xfId="1076" xr:uid="{00000000-0005-0000-0000-00002F040000}"/>
    <cellStyle name="Comma 20" xfId="1077" xr:uid="{00000000-0005-0000-0000-000030040000}"/>
    <cellStyle name="Comma 20 2" xfId="1078" xr:uid="{00000000-0005-0000-0000-000031040000}"/>
    <cellStyle name="Comma 21" xfId="1079" xr:uid="{00000000-0005-0000-0000-000032040000}"/>
    <cellStyle name="Comma 21 2" xfId="1080" xr:uid="{00000000-0005-0000-0000-000033040000}"/>
    <cellStyle name="Comma 21 2 2" xfId="1081" xr:uid="{00000000-0005-0000-0000-000034040000}"/>
    <cellStyle name="Comma 21 3" xfId="1082" xr:uid="{00000000-0005-0000-0000-000035040000}"/>
    <cellStyle name="Comma 21 3 2" xfId="1083" xr:uid="{00000000-0005-0000-0000-000036040000}"/>
    <cellStyle name="Comma 21 4" xfId="1084" xr:uid="{00000000-0005-0000-0000-000037040000}"/>
    <cellStyle name="Comma 21 4 2" xfId="1085" xr:uid="{00000000-0005-0000-0000-000038040000}"/>
    <cellStyle name="Comma 21 5" xfId="1086" xr:uid="{00000000-0005-0000-0000-000039040000}"/>
    <cellStyle name="Comma 21 6" xfId="1087" xr:uid="{00000000-0005-0000-0000-00003A040000}"/>
    <cellStyle name="Comma 22" xfId="1088" xr:uid="{00000000-0005-0000-0000-00003B040000}"/>
    <cellStyle name="Comma 22 2" xfId="1089" xr:uid="{00000000-0005-0000-0000-00003C040000}"/>
    <cellStyle name="Comma 22 3" xfId="1090" xr:uid="{00000000-0005-0000-0000-00003D040000}"/>
    <cellStyle name="Comma 23" xfId="1091" xr:uid="{00000000-0005-0000-0000-00003E040000}"/>
    <cellStyle name="Comma 23 2" xfId="9" xr:uid="{00000000-0005-0000-0000-00003F040000}"/>
    <cellStyle name="Comma 24" xfId="1092" xr:uid="{00000000-0005-0000-0000-000040040000}"/>
    <cellStyle name="Comma 25" xfId="1093" xr:uid="{00000000-0005-0000-0000-000041040000}"/>
    <cellStyle name="Comma 25 2" xfId="1094" xr:uid="{00000000-0005-0000-0000-000042040000}"/>
    <cellStyle name="Comma 26" xfId="1095" xr:uid="{00000000-0005-0000-0000-000043040000}"/>
    <cellStyle name="Comma 27" xfId="1096" xr:uid="{00000000-0005-0000-0000-000044040000}"/>
    <cellStyle name="Comma 28" xfId="1097" xr:uid="{00000000-0005-0000-0000-000045040000}"/>
    <cellStyle name="Comma 29" xfId="1098" xr:uid="{00000000-0005-0000-0000-000046040000}"/>
    <cellStyle name="Comma 3" xfId="1099" xr:uid="{00000000-0005-0000-0000-000047040000}"/>
    <cellStyle name="Comma 3 2" xfId="1100" xr:uid="{00000000-0005-0000-0000-000048040000}"/>
    <cellStyle name="Comma 3 3" xfId="1101" xr:uid="{00000000-0005-0000-0000-000049040000}"/>
    <cellStyle name="Comma 3_VBPL kiểm toán Đầu tư XDCB 2010" xfId="1102" xr:uid="{00000000-0005-0000-0000-00004A040000}"/>
    <cellStyle name="Comma 30" xfId="1103" xr:uid="{00000000-0005-0000-0000-00004B040000}"/>
    <cellStyle name="Comma 31" xfId="1104" xr:uid="{00000000-0005-0000-0000-00004C040000}"/>
    <cellStyle name="Comma 32" xfId="1105" xr:uid="{00000000-0005-0000-0000-00004D040000}"/>
    <cellStyle name="Comma 33" xfId="1106" xr:uid="{00000000-0005-0000-0000-00004E040000}"/>
    <cellStyle name="Comma 4" xfId="1107" xr:uid="{00000000-0005-0000-0000-00004F040000}"/>
    <cellStyle name="Comma 4 2" xfId="1108" xr:uid="{00000000-0005-0000-0000-000050040000}"/>
    <cellStyle name="Comma 4 20" xfId="1109" xr:uid="{00000000-0005-0000-0000-000051040000}"/>
    <cellStyle name="Comma 4_Bieu mau KH 2011 (gui Vu DP)" xfId="1110" xr:uid="{00000000-0005-0000-0000-000052040000}"/>
    <cellStyle name="Comma 5" xfId="1111" xr:uid="{00000000-0005-0000-0000-000053040000}"/>
    <cellStyle name="Comma 5 2" xfId="1112" xr:uid="{00000000-0005-0000-0000-000054040000}"/>
    <cellStyle name="Comma 53 2" xfId="1113" xr:uid="{00000000-0005-0000-0000-000055040000}"/>
    <cellStyle name="Comma 6" xfId="1114" xr:uid="{00000000-0005-0000-0000-000056040000}"/>
    <cellStyle name="Comma 6 2" xfId="1115" xr:uid="{00000000-0005-0000-0000-000057040000}"/>
    <cellStyle name="Comma 7" xfId="1116" xr:uid="{00000000-0005-0000-0000-000058040000}"/>
    <cellStyle name="Comma 8" xfId="1117" xr:uid="{00000000-0005-0000-0000-000059040000}"/>
    <cellStyle name="Comma 8 2" xfId="1118" xr:uid="{00000000-0005-0000-0000-00005A040000}"/>
    <cellStyle name="Comma 9" xfId="1119" xr:uid="{00000000-0005-0000-0000-00005B040000}"/>
    <cellStyle name="comma zerodec" xfId="1120" xr:uid="{00000000-0005-0000-0000-00005C040000}"/>
    <cellStyle name="Comma0" xfId="1121" xr:uid="{00000000-0005-0000-0000-00005D040000}"/>
    <cellStyle name="Comma0 - Modelo1" xfId="1122" xr:uid="{00000000-0005-0000-0000-00005E040000}"/>
    <cellStyle name="Comma0 - Style1" xfId="1123" xr:uid="{00000000-0005-0000-0000-00005F040000}"/>
    <cellStyle name="Comma0 2" xfId="1124" xr:uid="{00000000-0005-0000-0000-000060040000}"/>
    <cellStyle name="Comma0 3" xfId="1125" xr:uid="{00000000-0005-0000-0000-000061040000}"/>
    <cellStyle name="Comma0 4" xfId="1126" xr:uid="{00000000-0005-0000-0000-000062040000}"/>
    <cellStyle name="Comma0_Book1" xfId="1127" xr:uid="{00000000-0005-0000-0000-000063040000}"/>
    <cellStyle name="Comma1 - Modelo2" xfId="1128" xr:uid="{00000000-0005-0000-0000-000064040000}"/>
    <cellStyle name="Comma1 - Style2" xfId="1129" xr:uid="{00000000-0005-0000-0000-000065040000}"/>
    <cellStyle name="cong" xfId="1130" xr:uid="{00000000-0005-0000-0000-000066040000}"/>
    <cellStyle name="Copied" xfId="1131" xr:uid="{00000000-0005-0000-0000-000067040000}"/>
    <cellStyle name="Cࡵrrency_Sheet1_PRODUCTĠ" xfId="1132" xr:uid="{00000000-0005-0000-0000-000068040000}"/>
    <cellStyle name="Currency [00]" xfId="1133" xr:uid="{00000000-0005-0000-0000-000069040000}"/>
    <cellStyle name="Currency 2" xfId="1134" xr:uid="{00000000-0005-0000-0000-00006A040000}"/>
    <cellStyle name="Currency 3" xfId="1135" xr:uid="{00000000-0005-0000-0000-00006B040000}"/>
    <cellStyle name="Currency0" xfId="1136" xr:uid="{00000000-0005-0000-0000-00006C040000}"/>
    <cellStyle name="Currency0 2" xfId="1137" xr:uid="{00000000-0005-0000-0000-00006D040000}"/>
    <cellStyle name="Currency0 2 2" xfId="1138" xr:uid="{00000000-0005-0000-0000-00006E040000}"/>
    <cellStyle name="Currency0 2 3" xfId="1139" xr:uid="{00000000-0005-0000-0000-00006F040000}"/>
    <cellStyle name="Currency0 2 4" xfId="1140" xr:uid="{00000000-0005-0000-0000-000070040000}"/>
    <cellStyle name="Currency0 2_Khoi cong moi 1" xfId="1141" xr:uid="{00000000-0005-0000-0000-000071040000}"/>
    <cellStyle name="Currency0 3" xfId="1142" xr:uid="{00000000-0005-0000-0000-000072040000}"/>
    <cellStyle name="Currency0 4" xfId="1143" xr:uid="{00000000-0005-0000-0000-000073040000}"/>
    <cellStyle name="Currency0 5" xfId="1144" xr:uid="{00000000-0005-0000-0000-000074040000}"/>
    <cellStyle name="Currency0 6" xfId="1145" xr:uid="{00000000-0005-0000-0000-000075040000}"/>
    <cellStyle name="Currency0_Book1" xfId="1146" xr:uid="{00000000-0005-0000-0000-000076040000}"/>
    <cellStyle name="Currency1" xfId="1147" xr:uid="{00000000-0005-0000-0000-000077040000}"/>
    <cellStyle name="Check Cell 2" xfId="1029" xr:uid="{00000000-0005-0000-0000-0000FC030000}"/>
    <cellStyle name="Check Cell 3" xfId="1030" xr:uid="{00000000-0005-0000-0000-0000FD030000}"/>
    <cellStyle name="Chi phÝ kh¸c_Book1" xfId="1031" xr:uid="{00000000-0005-0000-0000-0000FE030000}"/>
    <cellStyle name="chu" xfId="1032" xr:uid="{00000000-0005-0000-0000-0000FF030000}"/>
    <cellStyle name="CHUONG" xfId="1033" xr:uid="{00000000-0005-0000-0000-000000040000}"/>
    <cellStyle name="CHUONG 2" xfId="1034" xr:uid="{00000000-0005-0000-0000-000001040000}"/>
    <cellStyle name="CHUONG 2 2" xfId="1035" xr:uid="{00000000-0005-0000-0000-000002040000}"/>
    <cellStyle name="CHUONG 3" xfId="1036" xr:uid="{00000000-0005-0000-0000-000003040000}"/>
    <cellStyle name="D1" xfId="1148" xr:uid="{00000000-0005-0000-0000-000078040000}"/>
    <cellStyle name="Date" xfId="1149" xr:uid="{00000000-0005-0000-0000-000079040000}"/>
    <cellStyle name="Date 2" xfId="1150" xr:uid="{00000000-0005-0000-0000-00007A040000}"/>
    <cellStyle name="Date 3" xfId="1151" xr:uid="{00000000-0005-0000-0000-00007B040000}"/>
    <cellStyle name="Date Short" xfId="1152" xr:uid="{00000000-0005-0000-0000-00007C040000}"/>
    <cellStyle name="Date_17 bieu (hung cap nhap)" xfId="1153" xr:uid="{00000000-0005-0000-0000-00007D040000}"/>
    <cellStyle name="DAUDE" xfId="1158" xr:uid="{00000000-0005-0000-0000-000082040000}"/>
    <cellStyle name="Decimal" xfId="1163" xr:uid="{00000000-0005-0000-0000-000087040000}"/>
    <cellStyle name="Decimal 2" xfId="1164" xr:uid="{00000000-0005-0000-0000-000088040000}"/>
    <cellStyle name="Decimal 3" xfId="1165" xr:uid="{00000000-0005-0000-0000-000089040000}"/>
    <cellStyle name="Decimal 4" xfId="1166" xr:uid="{00000000-0005-0000-0000-00008A040000}"/>
    <cellStyle name="DELTA" xfId="1167" xr:uid="{00000000-0005-0000-0000-00008B040000}"/>
    <cellStyle name="Dezimal [0]_35ERI8T2gbIEMixb4v26icuOo" xfId="1168" xr:uid="{00000000-0005-0000-0000-00008C040000}"/>
    <cellStyle name="Dezimal_35ERI8T2gbIEMixb4v26icuOo" xfId="1169" xr:uid="{00000000-0005-0000-0000-00008D040000}"/>
    <cellStyle name="Dg" xfId="1170" xr:uid="{00000000-0005-0000-0000-00008E040000}"/>
    <cellStyle name="Dgia" xfId="1171" xr:uid="{00000000-0005-0000-0000-00008F040000}"/>
    <cellStyle name="Dgia 2" xfId="1172" xr:uid="{00000000-0005-0000-0000-000090040000}"/>
    <cellStyle name="Dia" xfId="1173" xr:uid="{00000000-0005-0000-0000-000091040000}"/>
    <cellStyle name="Dollar (zero dec)" xfId="1174" xr:uid="{00000000-0005-0000-0000-000092040000}"/>
    <cellStyle name="Don gia" xfId="1175" xr:uid="{00000000-0005-0000-0000-000093040000}"/>
    <cellStyle name="DuToanBXD" xfId="1176" xr:uid="{00000000-0005-0000-0000-000094040000}"/>
    <cellStyle name="DuToanBXD 2" xfId="1177" xr:uid="{00000000-0005-0000-0000-000095040000}"/>
    <cellStyle name="Dziesi?tny [0]_Invoices2001Slovakia" xfId="1178" xr:uid="{00000000-0005-0000-0000-000096040000}"/>
    <cellStyle name="Dziesi?tny_Invoices2001Slovakia" xfId="1179" xr:uid="{00000000-0005-0000-0000-000097040000}"/>
    <cellStyle name="Dziesietny [0]_Invoices2001Slovakia" xfId="1180" xr:uid="{00000000-0005-0000-0000-000098040000}"/>
    <cellStyle name="Dziesiętny [0]_Invoices2001Slovakia" xfId="1181" xr:uid="{00000000-0005-0000-0000-000099040000}"/>
    <cellStyle name="Dziesietny [0]_Invoices2001Slovakia_01_Nha so 1_Dien" xfId="1182" xr:uid="{00000000-0005-0000-0000-00009A040000}"/>
    <cellStyle name="Dziesiętny [0]_Invoices2001Slovakia_01_Nha so 1_Dien" xfId="1183" xr:uid="{00000000-0005-0000-0000-00009B040000}"/>
    <cellStyle name="Dziesietny [0]_Invoices2001Slovakia_10_Nha so 10_Dien1" xfId="1184" xr:uid="{00000000-0005-0000-0000-00009C040000}"/>
    <cellStyle name="Dziesiętny [0]_Invoices2001Slovakia_10_Nha so 10_Dien1" xfId="1185" xr:uid="{00000000-0005-0000-0000-00009D040000}"/>
    <cellStyle name="Dziesietny [0]_Invoices2001Slovakia_Book1" xfId="1186" xr:uid="{00000000-0005-0000-0000-00009E040000}"/>
    <cellStyle name="Dziesiętny [0]_Invoices2001Slovakia_Book1" xfId="1187" xr:uid="{00000000-0005-0000-0000-00009F040000}"/>
    <cellStyle name="Dziesietny [0]_Invoices2001Slovakia_Book1_1" xfId="1188" xr:uid="{00000000-0005-0000-0000-0000A0040000}"/>
    <cellStyle name="Dziesiętny [0]_Invoices2001Slovakia_Book1_1" xfId="1189" xr:uid="{00000000-0005-0000-0000-0000A1040000}"/>
    <cellStyle name="Dziesietny [0]_Invoices2001Slovakia_Book1_1_Book1" xfId="1190" xr:uid="{00000000-0005-0000-0000-0000A2040000}"/>
    <cellStyle name="Dziesiętny [0]_Invoices2001Slovakia_Book1_1_Book1" xfId="1191" xr:uid="{00000000-0005-0000-0000-0000A3040000}"/>
    <cellStyle name="Dziesietny [0]_Invoices2001Slovakia_Book1_2" xfId="1192" xr:uid="{00000000-0005-0000-0000-0000A4040000}"/>
    <cellStyle name="Dziesiętny [0]_Invoices2001Slovakia_Book1_2" xfId="1193" xr:uid="{00000000-0005-0000-0000-0000A5040000}"/>
    <cellStyle name="Dziesietny [0]_Invoices2001Slovakia_Book1_Nhu cau von ung truoc 2011 Tha h Hoa + Nge An gui TW" xfId="1194" xr:uid="{00000000-0005-0000-0000-0000A6040000}"/>
    <cellStyle name="Dziesiętny [0]_Invoices2001Slovakia_Book1_Nhu cau von ung truoc 2011 Tha h Hoa + Nge An gui TW" xfId="1195" xr:uid="{00000000-0005-0000-0000-0000A7040000}"/>
    <cellStyle name="Dziesietny [0]_Invoices2001Slovakia_Book1_Tong hop Cac tuyen(9-1-06)" xfId="1196" xr:uid="{00000000-0005-0000-0000-0000A8040000}"/>
    <cellStyle name="Dziesiętny [0]_Invoices2001Slovakia_Book1_Tong hop Cac tuyen(9-1-06)" xfId="1197" xr:uid="{00000000-0005-0000-0000-0000A9040000}"/>
    <cellStyle name="Dziesietny [0]_Invoices2001Slovakia_Book1_ung 2011 - 11-6-Thanh hoa-Nghe an" xfId="1198" xr:uid="{00000000-0005-0000-0000-0000AA040000}"/>
    <cellStyle name="Dziesiętny [0]_Invoices2001Slovakia_Book1_ung 2011 - 11-6-Thanh hoa-Nghe an" xfId="1199" xr:uid="{00000000-0005-0000-0000-0000AB040000}"/>
    <cellStyle name="Dziesietny [0]_Invoices2001Slovakia_Book1_ung truoc 2011 NSTW Thanh Hoa + Nge An gui Thu 12-5" xfId="1200" xr:uid="{00000000-0005-0000-0000-0000AC040000}"/>
    <cellStyle name="Dziesiętny [0]_Invoices2001Slovakia_Book1_ung truoc 2011 NSTW Thanh Hoa + Nge An gui Thu 12-5" xfId="1201" xr:uid="{00000000-0005-0000-0000-0000AD040000}"/>
    <cellStyle name="Dziesietny [0]_Invoices2001Slovakia_d-uong+TDT" xfId="1202" xr:uid="{00000000-0005-0000-0000-0000AE040000}"/>
    <cellStyle name="Dziesiętny [0]_Invoices2001Slovakia_Nhµ ®Ó xe" xfId="1203" xr:uid="{00000000-0005-0000-0000-0000AF040000}"/>
    <cellStyle name="Dziesietny [0]_Invoices2001Slovakia_Nha bao ve(28-7-05)" xfId="1204" xr:uid="{00000000-0005-0000-0000-0000B0040000}"/>
    <cellStyle name="Dziesiętny [0]_Invoices2001Slovakia_Nha bao ve(28-7-05)" xfId="1205" xr:uid="{00000000-0005-0000-0000-0000B1040000}"/>
    <cellStyle name="Dziesietny [0]_Invoices2001Slovakia_NHA de xe nguyen du" xfId="1206" xr:uid="{00000000-0005-0000-0000-0000B2040000}"/>
    <cellStyle name="Dziesiętny [0]_Invoices2001Slovakia_NHA de xe nguyen du" xfId="1207" xr:uid="{00000000-0005-0000-0000-0000B3040000}"/>
    <cellStyle name="Dziesietny [0]_Invoices2001Slovakia_Nhalamviec VTC(25-1-05)" xfId="1208" xr:uid="{00000000-0005-0000-0000-0000B4040000}"/>
    <cellStyle name="Dziesiętny [0]_Invoices2001Slovakia_Nhalamviec VTC(25-1-05)" xfId="1209" xr:uid="{00000000-0005-0000-0000-0000B5040000}"/>
    <cellStyle name="Dziesietny [0]_Invoices2001Slovakia_Nhu cau von ung truoc 2011 Tha h Hoa + Nge An gui TW" xfId="1210" xr:uid="{00000000-0005-0000-0000-0000B6040000}"/>
    <cellStyle name="Dziesiętny [0]_Invoices2001Slovakia_TDT KHANH HOA" xfId="1211" xr:uid="{00000000-0005-0000-0000-0000B7040000}"/>
    <cellStyle name="Dziesietny [0]_Invoices2001Slovakia_TDT KHANH HOA_Tong hop Cac tuyen(9-1-06)" xfId="1212" xr:uid="{00000000-0005-0000-0000-0000B8040000}"/>
    <cellStyle name="Dziesiętny [0]_Invoices2001Slovakia_TDT KHANH HOA_Tong hop Cac tuyen(9-1-06)" xfId="1213" xr:uid="{00000000-0005-0000-0000-0000B9040000}"/>
    <cellStyle name="Dziesietny [0]_Invoices2001Slovakia_TDT quangngai" xfId="1214" xr:uid="{00000000-0005-0000-0000-0000BA040000}"/>
    <cellStyle name="Dziesiętny [0]_Invoices2001Slovakia_TDT quangngai" xfId="1215" xr:uid="{00000000-0005-0000-0000-0000BB040000}"/>
    <cellStyle name="Dziesietny [0]_Invoices2001Slovakia_TMDT(10-5-06)" xfId="1216" xr:uid="{00000000-0005-0000-0000-0000BC040000}"/>
    <cellStyle name="Dziesietny_Invoices2001Slovakia" xfId="1217" xr:uid="{00000000-0005-0000-0000-0000BD040000}"/>
    <cellStyle name="Dziesiętny_Invoices2001Slovakia" xfId="1218" xr:uid="{00000000-0005-0000-0000-0000BE040000}"/>
    <cellStyle name="Dziesietny_Invoices2001Slovakia_01_Nha so 1_Dien" xfId="1219" xr:uid="{00000000-0005-0000-0000-0000BF040000}"/>
    <cellStyle name="Dziesiętny_Invoices2001Slovakia_01_Nha so 1_Dien" xfId="1220" xr:uid="{00000000-0005-0000-0000-0000C0040000}"/>
    <cellStyle name="Dziesietny_Invoices2001Slovakia_10_Nha so 10_Dien1" xfId="1221" xr:uid="{00000000-0005-0000-0000-0000C1040000}"/>
    <cellStyle name="Dziesiętny_Invoices2001Slovakia_10_Nha so 10_Dien1" xfId="1222" xr:uid="{00000000-0005-0000-0000-0000C2040000}"/>
    <cellStyle name="Dziesietny_Invoices2001Slovakia_Book1" xfId="1223" xr:uid="{00000000-0005-0000-0000-0000C3040000}"/>
    <cellStyle name="Dziesiętny_Invoices2001Slovakia_Book1" xfId="1224" xr:uid="{00000000-0005-0000-0000-0000C4040000}"/>
    <cellStyle name="Dziesietny_Invoices2001Slovakia_Book1_1" xfId="1225" xr:uid="{00000000-0005-0000-0000-0000C5040000}"/>
    <cellStyle name="Dziesiętny_Invoices2001Slovakia_Book1_1" xfId="1226" xr:uid="{00000000-0005-0000-0000-0000C6040000}"/>
    <cellStyle name="Dziesietny_Invoices2001Slovakia_Book1_1_Book1" xfId="1227" xr:uid="{00000000-0005-0000-0000-0000C7040000}"/>
    <cellStyle name="Dziesiętny_Invoices2001Slovakia_Book1_1_Book1" xfId="1228" xr:uid="{00000000-0005-0000-0000-0000C8040000}"/>
    <cellStyle name="Dziesietny_Invoices2001Slovakia_Book1_2" xfId="1229" xr:uid="{00000000-0005-0000-0000-0000C9040000}"/>
    <cellStyle name="Dziesiętny_Invoices2001Slovakia_Book1_2" xfId="1230" xr:uid="{00000000-0005-0000-0000-0000CA040000}"/>
    <cellStyle name="Dziesietny_Invoices2001Slovakia_Book1_Nhu cau von ung truoc 2011 Tha h Hoa + Nge An gui TW" xfId="1231" xr:uid="{00000000-0005-0000-0000-0000CB040000}"/>
    <cellStyle name="Dziesiętny_Invoices2001Slovakia_Book1_Nhu cau von ung truoc 2011 Tha h Hoa + Nge An gui TW" xfId="1232" xr:uid="{00000000-0005-0000-0000-0000CC040000}"/>
    <cellStyle name="Dziesietny_Invoices2001Slovakia_Book1_Tong hop Cac tuyen(9-1-06)" xfId="1233" xr:uid="{00000000-0005-0000-0000-0000CD040000}"/>
    <cellStyle name="Dziesiętny_Invoices2001Slovakia_Book1_Tong hop Cac tuyen(9-1-06)" xfId="1234" xr:uid="{00000000-0005-0000-0000-0000CE040000}"/>
    <cellStyle name="Dziesietny_Invoices2001Slovakia_Book1_ung 2011 - 11-6-Thanh hoa-Nghe an" xfId="1235" xr:uid="{00000000-0005-0000-0000-0000CF040000}"/>
    <cellStyle name="Dziesiętny_Invoices2001Slovakia_Book1_ung 2011 - 11-6-Thanh hoa-Nghe an" xfId="1236" xr:uid="{00000000-0005-0000-0000-0000D0040000}"/>
    <cellStyle name="Dziesietny_Invoices2001Slovakia_Book1_ung truoc 2011 NSTW Thanh Hoa + Nge An gui Thu 12-5" xfId="1237" xr:uid="{00000000-0005-0000-0000-0000D1040000}"/>
    <cellStyle name="Dziesiętny_Invoices2001Slovakia_Book1_ung truoc 2011 NSTW Thanh Hoa + Nge An gui Thu 12-5" xfId="1238" xr:uid="{00000000-0005-0000-0000-0000D2040000}"/>
    <cellStyle name="Dziesietny_Invoices2001Slovakia_d-uong+TDT" xfId="1239" xr:uid="{00000000-0005-0000-0000-0000D3040000}"/>
    <cellStyle name="Dziesiętny_Invoices2001Slovakia_Nhµ ®Ó xe" xfId="1240" xr:uid="{00000000-0005-0000-0000-0000D4040000}"/>
    <cellStyle name="Dziesietny_Invoices2001Slovakia_Nha bao ve(28-7-05)" xfId="1241" xr:uid="{00000000-0005-0000-0000-0000D5040000}"/>
    <cellStyle name="Dziesiętny_Invoices2001Slovakia_Nha bao ve(28-7-05)" xfId="1242" xr:uid="{00000000-0005-0000-0000-0000D6040000}"/>
    <cellStyle name="Dziesietny_Invoices2001Slovakia_NHA de xe nguyen du" xfId="1243" xr:uid="{00000000-0005-0000-0000-0000D7040000}"/>
    <cellStyle name="Dziesiętny_Invoices2001Slovakia_NHA de xe nguyen du" xfId="1244" xr:uid="{00000000-0005-0000-0000-0000D8040000}"/>
    <cellStyle name="Dziesietny_Invoices2001Slovakia_Nhalamviec VTC(25-1-05)" xfId="1245" xr:uid="{00000000-0005-0000-0000-0000D9040000}"/>
    <cellStyle name="Dziesiętny_Invoices2001Slovakia_Nhalamviec VTC(25-1-05)" xfId="1246" xr:uid="{00000000-0005-0000-0000-0000DA040000}"/>
    <cellStyle name="Dziesietny_Invoices2001Slovakia_Nhu cau von ung truoc 2011 Tha h Hoa + Nge An gui TW" xfId="1247" xr:uid="{00000000-0005-0000-0000-0000DB040000}"/>
    <cellStyle name="Dziesiętny_Invoices2001Slovakia_TDT KHANH HOA" xfId="1248" xr:uid="{00000000-0005-0000-0000-0000DC040000}"/>
    <cellStyle name="Dziesietny_Invoices2001Slovakia_TDT KHANH HOA_Tong hop Cac tuyen(9-1-06)" xfId="1249" xr:uid="{00000000-0005-0000-0000-0000DD040000}"/>
    <cellStyle name="Dziesiętny_Invoices2001Slovakia_TDT KHANH HOA_Tong hop Cac tuyen(9-1-06)" xfId="1250" xr:uid="{00000000-0005-0000-0000-0000DE040000}"/>
    <cellStyle name="Dziesietny_Invoices2001Slovakia_TDT quangngai" xfId="1251" xr:uid="{00000000-0005-0000-0000-0000DF040000}"/>
    <cellStyle name="Dziesiętny_Invoices2001Slovakia_TDT quangngai" xfId="1252" xr:uid="{00000000-0005-0000-0000-0000E0040000}"/>
    <cellStyle name="Dziesietny_Invoices2001Slovakia_TMDT(10-5-06)" xfId="1253" xr:uid="{00000000-0005-0000-0000-0000E1040000}"/>
    <cellStyle name="Đầu ra" xfId="1154" xr:uid="{00000000-0005-0000-0000-00007E040000}"/>
    <cellStyle name="Đầu ra 2" xfId="1155" xr:uid="{00000000-0005-0000-0000-00007F040000}"/>
    <cellStyle name="Đầu vào" xfId="1156" xr:uid="{00000000-0005-0000-0000-000080040000}"/>
    <cellStyle name="Đầu vào 2" xfId="1157" xr:uid="{00000000-0005-0000-0000-000081040000}"/>
    <cellStyle name="Đề mục 1" xfId="1159" xr:uid="{00000000-0005-0000-0000-000083040000}"/>
    <cellStyle name="Đề mục 2" xfId="1160" xr:uid="{00000000-0005-0000-0000-000084040000}"/>
    <cellStyle name="Đề mục 3" xfId="1161" xr:uid="{00000000-0005-0000-0000-000085040000}"/>
    <cellStyle name="Đề mục 4" xfId="1162" xr:uid="{00000000-0005-0000-0000-000086040000}"/>
    <cellStyle name="e" xfId="1254" xr:uid="{00000000-0005-0000-0000-0000E2040000}"/>
    <cellStyle name="Encabez1" xfId="1255" xr:uid="{00000000-0005-0000-0000-0000E3040000}"/>
    <cellStyle name="Encabez2" xfId="1256" xr:uid="{00000000-0005-0000-0000-0000E4040000}"/>
    <cellStyle name="Enter Currency (0)" xfId="1257" xr:uid="{00000000-0005-0000-0000-0000E5040000}"/>
    <cellStyle name="Enter Currency (2)" xfId="1258" xr:uid="{00000000-0005-0000-0000-0000E6040000}"/>
    <cellStyle name="Enter Units (0)" xfId="1259" xr:uid="{00000000-0005-0000-0000-0000E7040000}"/>
    <cellStyle name="Enter Units (1)" xfId="1260" xr:uid="{00000000-0005-0000-0000-0000E8040000}"/>
    <cellStyle name="Enter Units (2)" xfId="1261" xr:uid="{00000000-0005-0000-0000-0000E9040000}"/>
    <cellStyle name="Entered" xfId="1262" xr:uid="{00000000-0005-0000-0000-0000EA040000}"/>
    <cellStyle name="En-tete1" xfId="1263" xr:uid="{00000000-0005-0000-0000-0000EB040000}"/>
    <cellStyle name="En-tete1 2" xfId="1264" xr:uid="{00000000-0005-0000-0000-0000EC040000}"/>
    <cellStyle name="En-tete2" xfId="1265" xr:uid="{00000000-0005-0000-0000-0000ED040000}"/>
    <cellStyle name="En-tete2 2" xfId="1266" xr:uid="{00000000-0005-0000-0000-0000EE040000}"/>
    <cellStyle name="Euro" xfId="1267" xr:uid="{00000000-0005-0000-0000-0000EF040000}"/>
    <cellStyle name="Explanatory Text 2" xfId="1268" xr:uid="{00000000-0005-0000-0000-0000F0040000}"/>
    <cellStyle name="Explanatory Text 3" xfId="1269" xr:uid="{00000000-0005-0000-0000-0000F1040000}"/>
    <cellStyle name="f" xfId="1270" xr:uid="{00000000-0005-0000-0000-0000F2040000}"/>
    <cellStyle name="F2" xfId="1271" xr:uid="{00000000-0005-0000-0000-0000F3040000}"/>
    <cellStyle name="F3" xfId="1272" xr:uid="{00000000-0005-0000-0000-0000F4040000}"/>
    <cellStyle name="F4" xfId="1273" xr:uid="{00000000-0005-0000-0000-0000F5040000}"/>
    <cellStyle name="F5" xfId="1274" xr:uid="{00000000-0005-0000-0000-0000F6040000}"/>
    <cellStyle name="F6" xfId="1275" xr:uid="{00000000-0005-0000-0000-0000F7040000}"/>
    <cellStyle name="F7" xfId="1276" xr:uid="{00000000-0005-0000-0000-0000F8040000}"/>
    <cellStyle name="F8" xfId="1277" xr:uid="{00000000-0005-0000-0000-0000F9040000}"/>
    <cellStyle name="Fijo" xfId="1278" xr:uid="{00000000-0005-0000-0000-0000FA040000}"/>
    <cellStyle name="Financier" xfId="1279" xr:uid="{00000000-0005-0000-0000-0000FB040000}"/>
    <cellStyle name="Financiero" xfId="1280" xr:uid="{00000000-0005-0000-0000-0000FC040000}"/>
    <cellStyle name="Fixe" xfId="1281" xr:uid="{00000000-0005-0000-0000-0000FD040000}"/>
    <cellStyle name="Fixed" xfId="1282" xr:uid="{00000000-0005-0000-0000-0000FE040000}"/>
    <cellStyle name="Fixed 2" xfId="1283" xr:uid="{00000000-0005-0000-0000-0000FF040000}"/>
    <cellStyle name="Fixed 3" xfId="1284" xr:uid="{00000000-0005-0000-0000-000000050000}"/>
    <cellStyle name="Font Britannic16" xfId="1285" xr:uid="{00000000-0005-0000-0000-000001050000}"/>
    <cellStyle name="Font Britannic18" xfId="1286" xr:uid="{00000000-0005-0000-0000-000002050000}"/>
    <cellStyle name="Font CenturyCond 18" xfId="1287" xr:uid="{00000000-0005-0000-0000-000003050000}"/>
    <cellStyle name="Font Cond20" xfId="1288" xr:uid="{00000000-0005-0000-0000-000004050000}"/>
    <cellStyle name="Font LucidaSans16" xfId="1289" xr:uid="{00000000-0005-0000-0000-000005050000}"/>
    <cellStyle name="Font NewCenturyCond18" xfId="1290" xr:uid="{00000000-0005-0000-0000-000006050000}"/>
    <cellStyle name="Font Ottawa14" xfId="1291" xr:uid="{00000000-0005-0000-0000-000007050000}"/>
    <cellStyle name="Font Ottawa14 2" xfId="1292" xr:uid="{00000000-0005-0000-0000-000008050000}"/>
    <cellStyle name="Font Ottawa16" xfId="1293" xr:uid="{00000000-0005-0000-0000-000009050000}"/>
    <cellStyle name="Formulas" xfId="1294" xr:uid="{00000000-0005-0000-0000-00000A050000}"/>
    <cellStyle name="Formulas 2" xfId="1295" xr:uid="{00000000-0005-0000-0000-00000B050000}"/>
    <cellStyle name="Formulas 2 2" xfId="1296" xr:uid="{00000000-0005-0000-0000-00000C050000}"/>
    <cellStyle name="Ghi chú" xfId="1297" xr:uid="{00000000-0005-0000-0000-00000D050000}"/>
    <cellStyle name="Ghi chú 2" xfId="1298" xr:uid="{00000000-0005-0000-0000-00000E050000}"/>
    <cellStyle name="Good 2" xfId="1300" xr:uid="{00000000-0005-0000-0000-000010050000}"/>
    <cellStyle name="Good 3" xfId="1301" xr:uid="{00000000-0005-0000-0000-000011050000}"/>
    <cellStyle name="Grey" xfId="1302" xr:uid="{00000000-0005-0000-0000-000012050000}"/>
    <cellStyle name="Group" xfId="1303" xr:uid="{00000000-0005-0000-0000-000013050000}"/>
    <cellStyle name="gia" xfId="1299" xr:uid="{00000000-0005-0000-0000-00000F050000}"/>
    <cellStyle name="H" xfId="1304" xr:uid="{00000000-0005-0000-0000-000014050000}"/>
    <cellStyle name="ha" xfId="1305" xr:uid="{00000000-0005-0000-0000-000015050000}"/>
    <cellStyle name="hai" xfId="1306" xr:uid="{00000000-0005-0000-0000-000016050000}"/>
    <cellStyle name="Head 1" xfId="1307" xr:uid="{00000000-0005-0000-0000-000017050000}"/>
    <cellStyle name="HEADER" xfId="1308" xr:uid="{00000000-0005-0000-0000-000018050000}"/>
    <cellStyle name="Header1" xfId="1309" xr:uid="{00000000-0005-0000-0000-000019050000}"/>
    <cellStyle name="Header2" xfId="1310" xr:uid="{00000000-0005-0000-0000-00001A050000}"/>
    <cellStyle name="Header2 2" xfId="1311" xr:uid="{00000000-0005-0000-0000-00001B050000}"/>
    <cellStyle name="Heading 1 2" xfId="1312" xr:uid="{00000000-0005-0000-0000-00001C050000}"/>
    <cellStyle name="Heading 1 3" xfId="1313" xr:uid="{00000000-0005-0000-0000-00001D050000}"/>
    <cellStyle name="Heading 1 4" xfId="1314" xr:uid="{00000000-0005-0000-0000-00001E050000}"/>
    <cellStyle name="Heading 2 2" xfId="1315" xr:uid="{00000000-0005-0000-0000-00001F050000}"/>
    <cellStyle name="Heading 2 3" xfId="1316" xr:uid="{00000000-0005-0000-0000-000020050000}"/>
    <cellStyle name="Heading 2 4" xfId="1317" xr:uid="{00000000-0005-0000-0000-000021050000}"/>
    <cellStyle name="Heading 3 2" xfId="1318" xr:uid="{00000000-0005-0000-0000-000022050000}"/>
    <cellStyle name="Heading 3 3" xfId="1319" xr:uid="{00000000-0005-0000-0000-000023050000}"/>
    <cellStyle name="Heading 4 2" xfId="1320" xr:uid="{00000000-0005-0000-0000-000024050000}"/>
    <cellStyle name="Heading 4 3" xfId="1321" xr:uid="{00000000-0005-0000-0000-000025050000}"/>
    <cellStyle name="Heading1" xfId="1322" xr:uid="{00000000-0005-0000-0000-000026050000}"/>
    <cellStyle name="Heading2" xfId="1323" xr:uid="{00000000-0005-0000-0000-000027050000}"/>
    <cellStyle name="HEADINGS" xfId="1324" xr:uid="{00000000-0005-0000-0000-000028050000}"/>
    <cellStyle name="HEADINGSTOP" xfId="1325" xr:uid="{00000000-0005-0000-0000-000029050000}"/>
    <cellStyle name="headoption" xfId="1326" xr:uid="{00000000-0005-0000-0000-00002A050000}"/>
    <cellStyle name="headoption 2" xfId="1327" xr:uid="{00000000-0005-0000-0000-00002B050000}"/>
    <cellStyle name="hoa" xfId="1328" xr:uid="{00000000-0005-0000-0000-00002C050000}"/>
    <cellStyle name="Hoa-Scholl" xfId="1329" xr:uid="{00000000-0005-0000-0000-00002D050000}"/>
    <cellStyle name="Hoa-Scholl 2" xfId="1330" xr:uid="{00000000-0005-0000-0000-00002E050000}"/>
    <cellStyle name="HUY" xfId="1331" xr:uid="{00000000-0005-0000-0000-00002F050000}"/>
    <cellStyle name="i phÝ kh¸c_B¶ng 2" xfId="1332" xr:uid="{00000000-0005-0000-0000-000030050000}"/>
    <cellStyle name="I.3" xfId="1333" xr:uid="{00000000-0005-0000-0000-000031050000}"/>
    <cellStyle name="i·0" xfId="1334" xr:uid="{00000000-0005-0000-0000-000032050000}"/>
    <cellStyle name="ï-¾È»ê_BiÓu TB" xfId="1335" xr:uid="{00000000-0005-0000-0000-000033050000}"/>
    <cellStyle name="Input [yellow]" xfId="1336" xr:uid="{00000000-0005-0000-0000-000034050000}"/>
    <cellStyle name="Input [yellow] 2" xfId="1337" xr:uid="{00000000-0005-0000-0000-000035050000}"/>
    <cellStyle name="Input 2" xfId="1338" xr:uid="{00000000-0005-0000-0000-000036050000}"/>
    <cellStyle name="Input 2 2" xfId="1339" xr:uid="{00000000-0005-0000-0000-000037050000}"/>
    <cellStyle name="Input 3" xfId="1340" xr:uid="{00000000-0005-0000-0000-000038050000}"/>
    <cellStyle name="Input 4" xfId="1341" xr:uid="{00000000-0005-0000-0000-000039050000}"/>
    <cellStyle name="Input 5" xfId="1342" xr:uid="{00000000-0005-0000-0000-00003A050000}"/>
    <cellStyle name="Input 6" xfId="1343" xr:uid="{00000000-0005-0000-0000-00003B050000}"/>
    <cellStyle name="Input 7" xfId="1344" xr:uid="{00000000-0005-0000-0000-00003C050000}"/>
    <cellStyle name="k" xfId="1345" xr:uid="{00000000-0005-0000-0000-00003D050000}"/>
    <cellStyle name="k 2" xfId="1346" xr:uid="{00000000-0005-0000-0000-00003E050000}"/>
    <cellStyle name="k_TONG HOP KINH PHI" xfId="1347" xr:uid="{00000000-0005-0000-0000-00003F050000}"/>
    <cellStyle name="k_ÿÿÿÿÿ" xfId="1348" xr:uid="{00000000-0005-0000-0000-000040050000}"/>
    <cellStyle name="k_ÿÿÿÿÿ_1" xfId="1349" xr:uid="{00000000-0005-0000-0000-000041050000}"/>
    <cellStyle name="k_ÿÿÿÿÿ_2" xfId="1350" xr:uid="{00000000-0005-0000-0000-000042050000}"/>
    <cellStyle name="Kiểm tra Ô" xfId="1357" xr:uid="{00000000-0005-0000-0000-000049050000}"/>
    <cellStyle name="KL" xfId="1358" xr:uid="{00000000-0005-0000-0000-00004A050000}"/>
    <cellStyle name="kh¸c_Bang Chi tieu" xfId="1351" xr:uid="{00000000-0005-0000-0000-000043050000}"/>
    <cellStyle name="khanh" xfId="1352" xr:uid="{00000000-0005-0000-0000-000044050000}"/>
    <cellStyle name="khoa2" xfId="1353" xr:uid="{00000000-0005-0000-0000-000045050000}"/>
    <cellStyle name="khoa2 2" xfId="1354" xr:uid="{00000000-0005-0000-0000-000046050000}"/>
    <cellStyle name="khung" xfId="1355" xr:uid="{00000000-0005-0000-0000-000047050000}"/>
    <cellStyle name="khung 2" xfId="1356" xr:uid="{00000000-0005-0000-0000-000048050000}"/>
    <cellStyle name="LAS - XD 354" xfId="1359" xr:uid="{00000000-0005-0000-0000-00004B050000}"/>
    <cellStyle name="LAS - XD 354 2" xfId="1360" xr:uid="{00000000-0005-0000-0000-00004C050000}"/>
    <cellStyle name="Ledger 17 x 11 in" xfId="1361" xr:uid="{00000000-0005-0000-0000-00004D050000}"/>
    <cellStyle name="Ledger 17 x 11 in 2" xfId="1362" xr:uid="{00000000-0005-0000-0000-00004E050000}"/>
    <cellStyle name="Ledger 17 x 11 in 3" xfId="1363" xr:uid="{00000000-0005-0000-0000-00004F050000}"/>
    <cellStyle name="Ledger 17 x 11 in_bieu 1" xfId="1364" xr:uid="{00000000-0005-0000-0000-000050050000}"/>
    <cellStyle name="left" xfId="1365" xr:uid="{00000000-0005-0000-0000-000051050000}"/>
    <cellStyle name="Line" xfId="1366" xr:uid="{00000000-0005-0000-0000-000052050000}"/>
    <cellStyle name="Link Currency (0)" xfId="1367" xr:uid="{00000000-0005-0000-0000-000053050000}"/>
    <cellStyle name="Link Currency (2)" xfId="1368" xr:uid="{00000000-0005-0000-0000-000054050000}"/>
    <cellStyle name="Link Units (0)" xfId="1369" xr:uid="{00000000-0005-0000-0000-000055050000}"/>
    <cellStyle name="Link Units (1)" xfId="1370" xr:uid="{00000000-0005-0000-0000-000056050000}"/>
    <cellStyle name="Link Units (2)" xfId="1371" xr:uid="{00000000-0005-0000-0000-000057050000}"/>
    <cellStyle name="Linked Cell 2" xfId="1372" xr:uid="{00000000-0005-0000-0000-000058050000}"/>
    <cellStyle name="Linked Cell 3" xfId="1373" xr:uid="{00000000-0005-0000-0000-000059050000}"/>
    <cellStyle name="MAU" xfId="1374" xr:uid="{00000000-0005-0000-0000-00005A050000}"/>
    <cellStyle name="Migliaia (0)_CALPREZZ" xfId="1375" xr:uid="{00000000-0005-0000-0000-00005B050000}"/>
    <cellStyle name="Migliaia_ PESO ELETTR." xfId="1376" xr:uid="{00000000-0005-0000-0000-00005C050000}"/>
    <cellStyle name="Millares [0]_10 AVERIAS MASIVAS + ANT" xfId="1377" xr:uid="{00000000-0005-0000-0000-00005D050000}"/>
    <cellStyle name="Millares_Well Timing" xfId="1378" xr:uid="{00000000-0005-0000-0000-00005E050000}"/>
    <cellStyle name="Milliers [0]_      " xfId="1379" xr:uid="{00000000-0005-0000-0000-00005F050000}"/>
    <cellStyle name="Milliers_      " xfId="1380" xr:uid="{00000000-0005-0000-0000-000060050000}"/>
    <cellStyle name="Model" xfId="1381" xr:uid="{00000000-0005-0000-0000-000061050000}"/>
    <cellStyle name="moi" xfId="1382" xr:uid="{00000000-0005-0000-0000-000062050000}"/>
    <cellStyle name="Moneda [0]_Well Timing" xfId="1383" xr:uid="{00000000-0005-0000-0000-000063050000}"/>
    <cellStyle name="Moneda_Well Timing" xfId="1384" xr:uid="{00000000-0005-0000-0000-000064050000}"/>
    <cellStyle name="Monetaire" xfId="1385" xr:uid="{00000000-0005-0000-0000-000065050000}"/>
    <cellStyle name="Monétaire [0]_      " xfId="1386" xr:uid="{00000000-0005-0000-0000-000066050000}"/>
    <cellStyle name="Monetaire 2" xfId="1387" xr:uid="{00000000-0005-0000-0000-000067050000}"/>
    <cellStyle name="Monetaire 3" xfId="1388" xr:uid="{00000000-0005-0000-0000-000068050000}"/>
    <cellStyle name="Monétaire_      " xfId="1389" xr:uid="{00000000-0005-0000-0000-000069050000}"/>
    <cellStyle name="n" xfId="1390" xr:uid="{00000000-0005-0000-0000-00006A050000}"/>
    <cellStyle name="n_17 bieu (hung cap nhap)" xfId="1391" xr:uid="{00000000-0005-0000-0000-00006B050000}"/>
    <cellStyle name="n_Bao cao doan cong tac cua Bo thang 4-2010" xfId="1392" xr:uid="{00000000-0005-0000-0000-00006C050000}"/>
    <cellStyle name="n_goi 4 - qt" xfId="1393" xr:uid="{00000000-0005-0000-0000-00006D050000}"/>
    <cellStyle name="n_VBPL kiểm toán Đầu tư XDCB 2010" xfId="1394" xr:uid="{00000000-0005-0000-0000-00006E050000}"/>
    <cellStyle name="Neutral 2" xfId="1395" xr:uid="{00000000-0005-0000-0000-00006F050000}"/>
    <cellStyle name="Neutral 3" xfId="1396" xr:uid="{00000000-0005-0000-0000-000070050000}"/>
    <cellStyle name="New" xfId="1397" xr:uid="{00000000-0005-0000-0000-000071050000}"/>
    <cellStyle name="New 2" xfId="1398" xr:uid="{00000000-0005-0000-0000-000072050000}"/>
    <cellStyle name="New Times Roman" xfId="1399" xr:uid="{00000000-0005-0000-0000-000073050000}"/>
    <cellStyle name="no dec" xfId="1407" xr:uid="{00000000-0005-0000-0000-00007B050000}"/>
    <cellStyle name="ÑONVÒ" xfId="1408" xr:uid="{00000000-0005-0000-0000-00007C050000}"/>
    <cellStyle name="ÑONVÒ 2" xfId="1409" xr:uid="{00000000-0005-0000-0000-00007D050000}"/>
    <cellStyle name="Normal" xfId="0" builtinId="0"/>
    <cellStyle name="Normal - ??1" xfId="1410" xr:uid="{00000000-0005-0000-0000-00007F050000}"/>
    <cellStyle name="Normal - Style1" xfId="1411" xr:uid="{00000000-0005-0000-0000-000080050000}"/>
    <cellStyle name="Normal - Style1 2" xfId="1412" xr:uid="{00000000-0005-0000-0000-000081050000}"/>
    <cellStyle name="Normal - Style1 2 2" xfId="1413" xr:uid="{00000000-0005-0000-0000-000082050000}"/>
    <cellStyle name="Normal - Style1 2 2 2" xfId="1414" xr:uid="{00000000-0005-0000-0000-000083050000}"/>
    <cellStyle name="Normal - Style1 2 3" xfId="1415" xr:uid="{00000000-0005-0000-0000-000084050000}"/>
    <cellStyle name="Normal - Style1 2 4" xfId="1416" xr:uid="{00000000-0005-0000-0000-000085050000}"/>
    <cellStyle name="Normal - Style1 2_Khoi cong moi 1" xfId="1417" xr:uid="{00000000-0005-0000-0000-000086050000}"/>
    <cellStyle name="Normal - Style1 3" xfId="1418" xr:uid="{00000000-0005-0000-0000-000087050000}"/>
    <cellStyle name="Normal - Style1 3 2" xfId="1419" xr:uid="{00000000-0005-0000-0000-000088050000}"/>
    <cellStyle name="Normal - Style1 4" xfId="1420" xr:uid="{00000000-0005-0000-0000-000089050000}"/>
    <cellStyle name="Normal - Style1 4 2" xfId="1421" xr:uid="{00000000-0005-0000-0000-00008A050000}"/>
    <cellStyle name="Normal - Style1 5" xfId="1422" xr:uid="{00000000-0005-0000-0000-00008B050000}"/>
    <cellStyle name="Normal - Style1 6" xfId="1423" xr:uid="{00000000-0005-0000-0000-00008C050000}"/>
    <cellStyle name="Normal - Style1_Bao cao kiem toan kh 2010" xfId="1424" xr:uid="{00000000-0005-0000-0000-00008D050000}"/>
    <cellStyle name="Normal - 유형1" xfId="1425" xr:uid="{00000000-0005-0000-0000-00008E050000}"/>
    <cellStyle name="Normal 10" xfId="1426" xr:uid="{00000000-0005-0000-0000-00008F050000}"/>
    <cellStyle name="Normal 10 2" xfId="1427" xr:uid="{00000000-0005-0000-0000-000090050000}"/>
    <cellStyle name="Normal 10 2 4" xfId="1428" xr:uid="{00000000-0005-0000-0000-000091050000}"/>
    <cellStyle name="Normal 10 5 2" xfId="1429" xr:uid="{00000000-0005-0000-0000-000092050000}"/>
    <cellStyle name="Normal 11" xfId="1430" xr:uid="{00000000-0005-0000-0000-000093050000}"/>
    <cellStyle name="Normal 11 2 2" xfId="1431" xr:uid="{00000000-0005-0000-0000-000094050000}"/>
    <cellStyle name="Normal 12" xfId="1432" xr:uid="{00000000-0005-0000-0000-000095050000}"/>
    <cellStyle name="Normal 12 2" xfId="1433" xr:uid="{00000000-0005-0000-0000-000096050000}"/>
    <cellStyle name="Normal 13" xfId="1434" xr:uid="{00000000-0005-0000-0000-000097050000}"/>
    <cellStyle name="Normal 13 2" xfId="6" xr:uid="{00000000-0005-0000-0000-000098050000}"/>
    <cellStyle name="Normal 14" xfId="1435" xr:uid="{00000000-0005-0000-0000-000099050000}"/>
    <cellStyle name="Normal 14 2" xfId="1436" xr:uid="{00000000-0005-0000-0000-00009A050000}"/>
    <cellStyle name="Normal 15" xfId="1437" xr:uid="{00000000-0005-0000-0000-00009B050000}"/>
    <cellStyle name="Normal 15 2" xfId="1438" xr:uid="{00000000-0005-0000-0000-00009C050000}"/>
    <cellStyle name="Normal 16" xfId="1439" xr:uid="{00000000-0005-0000-0000-00009D050000}"/>
    <cellStyle name="Normal 16 2" xfId="1440" xr:uid="{00000000-0005-0000-0000-00009E050000}"/>
    <cellStyle name="Normal 17" xfId="1441" xr:uid="{00000000-0005-0000-0000-00009F050000}"/>
    <cellStyle name="Normal 17 2" xfId="1442" xr:uid="{00000000-0005-0000-0000-0000A0050000}"/>
    <cellStyle name="Normal 18" xfId="1443" xr:uid="{00000000-0005-0000-0000-0000A1050000}"/>
    <cellStyle name="Normal 18 2" xfId="1444" xr:uid="{00000000-0005-0000-0000-0000A2050000}"/>
    <cellStyle name="Normal 19" xfId="1445" xr:uid="{00000000-0005-0000-0000-0000A3050000}"/>
    <cellStyle name="Normal 19 2" xfId="1446" xr:uid="{00000000-0005-0000-0000-0000A4050000}"/>
    <cellStyle name="Normal 2" xfId="1447" xr:uid="{00000000-0005-0000-0000-0000A5050000}"/>
    <cellStyle name="Normal 2 2" xfId="1448" xr:uid="{00000000-0005-0000-0000-0000A6050000}"/>
    <cellStyle name="Normal 2 3" xfId="1449" xr:uid="{00000000-0005-0000-0000-0000A7050000}"/>
    <cellStyle name="Normal 2 3 2" xfId="1450" xr:uid="{00000000-0005-0000-0000-0000A8050000}"/>
    <cellStyle name="Normal 2 3 3" xfId="1451" xr:uid="{00000000-0005-0000-0000-0000A9050000}"/>
    <cellStyle name="Normal 2 4" xfId="1452" xr:uid="{00000000-0005-0000-0000-0000AA050000}"/>
    <cellStyle name="Normal 2 5" xfId="1453" xr:uid="{00000000-0005-0000-0000-0000AB050000}"/>
    <cellStyle name="Normal 2_160507 Bieu mau NSDP ND sua ND73" xfId="1454" xr:uid="{00000000-0005-0000-0000-0000AC050000}"/>
    <cellStyle name="Normal 20" xfId="1455" xr:uid="{00000000-0005-0000-0000-0000AD050000}"/>
    <cellStyle name="Normal 21" xfId="1456" xr:uid="{00000000-0005-0000-0000-0000AE050000}"/>
    <cellStyle name="Normal 22" xfId="1457" xr:uid="{00000000-0005-0000-0000-0000AF050000}"/>
    <cellStyle name="Normal 22 2" xfId="1458" xr:uid="{00000000-0005-0000-0000-0000B0050000}"/>
    <cellStyle name="Normal 23" xfId="1459" xr:uid="{00000000-0005-0000-0000-0000B1050000}"/>
    <cellStyle name="Normal 24" xfId="1460" xr:uid="{00000000-0005-0000-0000-0000B2050000}"/>
    <cellStyle name="Normal 25" xfId="1461" xr:uid="{00000000-0005-0000-0000-0000B3050000}"/>
    <cellStyle name="Normal 26" xfId="1462" xr:uid="{00000000-0005-0000-0000-0000B4050000}"/>
    <cellStyle name="Normal 27" xfId="1463" xr:uid="{00000000-0005-0000-0000-0000B5050000}"/>
    <cellStyle name="Normal 28" xfId="1464" xr:uid="{00000000-0005-0000-0000-0000B6050000}"/>
    <cellStyle name="Normal 29" xfId="1465" xr:uid="{00000000-0005-0000-0000-0000B7050000}"/>
    <cellStyle name="Normal 3" xfId="1466" xr:uid="{00000000-0005-0000-0000-0000B8050000}"/>
    <cellStyle name="Normal 3 2" xfId="1467" xr:uid="{00000000-0005-0000-0000-0000B9050000}"/>
    <cellStyle name="Normal 3 4" xfId="1468" xr:uid="{00000000-0005-0000-0000-0000BA050000}"/>
    <cellStyle name="Normal 3_17 bieu (hung cap nhap)" xfId="1469" xr:uid="{00000000-0005-0000-0000-0000BB050000}"/>
    <cellStyle name="Normal 30" xfId="1470" xr:uid="{00000000-0005-0000-0000-0000BC050000}"/>
    <cellStyle name="Normal 31" xfId="1471" xr:uid="{00000000-0005-0000-0000-0000BD050000}"/>
    <cellStyle name="Normal 32" xfId="1472" xr:uid="{00000000-0005-0000-0000-0000BE050000}"/>
    <cellStyle name="Normal 33" xfId="1473" xr:uid="{00000000-0005-0000-0000-0000BF050000}"/>
    <cellStyle name="Normal 33 2" xfId="1474" xr:uid="{00000000-0005-0000-0000-0000C0050000}"/>
    <cellStyle name="Normal 33 4" xfId="1475" xr:uid="{00000000-0005-0000-0000-0000C1050000}"/>
    <cellStyle name="Normal 33 4 2" xfId="1476" xr:uid="{00000000-0005-0000-0000-0000C2050000}"/>
    <cellStyle name="Normal 34" xfId="1477" xr:uid="{00000000-0005-0000-0000-0000C3050000}"/>
    <cellStyle name="Normal 35" xfId="1478" xr:uid="{00000000-0005-0000-0000-0000C4050000}"/>
    <cellStyle name="Normal 36" xfId="1479" xr:uid="{00000000-0005-0000-0000-0000C5050000}"/>
    <cellStyle name="Normal 37" xfId="1480" xr:uid="{00000000-0005-0000-0000-0000C6050000}"/>
    <cellStyle name="Normal 38" xfId="1481" xr:uid="{00000000-0005-0000-0000-0000C7050000}"/>
    <cellStyle name="Normal 4" xfId="1482" xr:uid="{00000000-0005-0000-0000-0000C8050000}"/>
    <cellStyle name="Normal 4 2" xfId="1483" xr:uid="{00000000-0005-0000-0000-0000C9050000}"/>
    <cellStyle name="Normal 4_160513 Bieu mau NSDP ND sua ND73" xfId="1484" xr:uid="{00000000-0005-0000-0000-0000CA050000}"/>
    <cellStyle name="Normal 40" xfId="2268" xr:uid="{00000000-0005-0000-0000-0000CB050000}"/>
    <cellStyle name="Normal 41 2" xfId="1485" xr:uid="{00000000-0005-0000-0000-0000CC050000}"/>
    <cellStyle name="Normal 43" xfId="1486" xr:uid="{00000000-0005-0000-0000-0000CD050000}"/>
    <cellStyle name="Normal 5" xfId="1487" xr:uid="{00000000-0005-0000-0000-0000CE050000}"/>
    <cellStyle name="Normal 5 2" xfId="1488" xr:uid="{00000000-0005-0000-0000-0000CF050000}"/>
    <cellStyle name="Normal 5 2 3" xfId="1489" xr:uid="{00000000-0005-0000-0000-0000D0050000}"/>
    <cellStyle name="Normal 5 3" xfId="1490" xr:uid="{00000000-0005-0000-0000-0000D1050000}"/>
    <cellStyle name="Normal 5_Book1" xfId="1491" xr:uid="{00000000-0005-0000-0000-0000D2050000}"/>
    <cellStyle name="Normal 6" xfId="1492" xr:uid="{00000000-0005-0000-0000-0000D3050000}"/>
    <cellStyle name="Normal 6 2" xfId="1493" xr:uid="{00000000-0005-0000-0000-0000D4050000}"/>
    <cellStyle name="Normal 6 3" xfId="1494" xr:uid="{00000000-0005-0000-0000-0000D5050000}"/>
    <cellStyle name="Normal 6 3 2" xfId="1495" xr:uid="{00000000-0005-0000-0000-0000D6050000}"/>
    <cellStyle name="Normal 6 3 2 2" xfId="8" xr:uid="{00000000-0005-0000-0000-0000D7050000}"/>
    <cellStyle name="Normal 6 4" xfId="1496" xr:uid="{00000000-0005-0000-0000-0000D8050000}"/>
    <cellStyle name="Normal 6 4 2" xfId="1497" xr:uid="{00000000-0005-0000-0000-0000D9050000}"/>
    <cellStyle name="Normal 6 5" xfId="1498" xr:uid="{00000000-0005-0000-0000-0000DA050000}"/>
    <cellStyle name="Normal 6 5 2" xfId="1499" xr:uid="{00000000-0005-0000-0000-0000DB050000}"/>
    <cellStyle name="Normal 6 6" xfId="1500" xr:uid="{00000000-0005-0000-0000-0000DC050000}"/>
    <cellStyle name="Normal 6 6 2" xfId="7" xr:uid="{00000000-0005-0000-0000-0000DD050000}"/>
    <cellStyle name="Normal 6 7" xfId="1501" xr:uid="{00000000-0005-0000-0000-0000DE050000}"/>
    <cellStyle name="Normal 6_Bieu mau KH 2011 (gui Vu DP)" xfId="1502" xr:uid="{00000000-0005-0000-0000-0000DF050000}"/>
    <cellStyle name="Normal 7" xfId="1503" xr:uid="{00000000-0005-0000-0000-0000E0050000}"/>
    <cellStyle name="Normal 7 2" xfId="1504" xr:uid="{00000000-0005-0000-0000-0000E1050000}"/>
    <cellStyle name="Normal 7 5" xfId="1505" xr:uid="{00000000-0005-0000-0000-0000E2050000}"/>
    <cellStyle name="Normal 8" xfId="1506" xr:uid="{00000000-0005-0000-0000-0000E3050000}"/>
    <cellStyle name="Normal 8 2" xfId="1507" xr:uid="{00000000-0005-0000-0000-0000E4050000}"/>
    <cellStyle name="Normal 9" xfId="1508" xr:uid="{00000000-0005-0000-0000-0000E5050000}"/>
    <cellStyle name="Normal 9 2" xfId="1509" xr:uid="{00000000-0005-0000-0000-0000E6050000}"/>
    <cellStyle name="Normal 9 3" xfId="1510" xr:uid="{00000000-0005-0000-0000-0000E7050000}"/>
    <cellStyle name="Normal 9_BieuHD2016-2020Tquang2(OK)" xfId="1511" xr:uid="{00000000-0005-0000-0000-0000E8050000}"/>
    <cellStyle name="Normal1" xfId="1512" xr:uid="{00000000-0005-0000-0000-0000E9050000}"/>
    <cellStyle name="Normal8" xfId="1513" xr:uid="{00000000-0005-0000-0000-0000EA050000}"/>
    <cellStyle name="NORMAL-ADB" xfId="1514" xr:uid="{00000000-0005-0000-0000-0000EB050000}"/>
    <cellStyle name="Normale_ PESO ELETTR." xfId="1515" xr:uid="{00000000-0005-0000-0000-0000EC050000}"/>
    <cellStyle name="Normalny_Cennik obowiazuje od 06-08-2001 r (1)" xfId="1516" xr:uid="{00000000-0005-0000-0000-0000ED050000}"/>
    <cellStyle name="Note 2" xfId="1517" xr:uid="{00000000-0005-0000-0000-0000EE050000}"/>
    <cellStyle name="Note 2 2" xfId="1518" xr:uid="{00000000-0005-0000-0000-0000EF050000}"/>
    <cellStyle name="Note 3" xfId="1519" xr:uid="{00000000-0005-0000-0000-0000F0050000}"/>
    <cellStyle name="NWM" xfId="1520" xr:uid="{00000000-0005-0000-0000-0000F1050000}"/>
    <cellStyle name="nga" xfId="1400" xr:uid="{00000000-0005-0000-0000-000074050000}"/>
    <cellStyle name="Nhấn1" xfId="1401" xr:uid="{00000000-0005-0000-0000-000075050000}"/>
    <cellStyle name="Nhấn2" xfId="1402" xr:uid="{00000000-0005-0000-0000-000076050000}"/>
    <cellStyle name="Nhấn3" xfId="1403" xr:uid="{00000000-0005-0000-0000-000077050000}"/>
    <cellStyle name="Nhấn4" xfId="1404" xr:uid="{00000000-0005-0000-0000-000078050000}"/>
    <cellStyle name="Nhấn5" xfId="1405" xr:uid="{00000000-0005-0000-0000-000079050000}"/>
    <cellStyle name="Nhấn6" xfId="1406" xr:uid="{00000000-0005-0000-0000-00007A050000}"/>
    <cellStyle name="Ò_x000d_Normal_123569" xfId="1522" xr:uid="{00000000-0005-0000-0000-0000F3050000}"/>
    <cellStyle name="Œ…‹æØ‚è [0.00]_††††† " xfId="1523" xr:uid="{00000000-0005-0000-0000-0000F4050000}"/>
    <cellStyle name="Œ…‹æØ‚è_††††† " xfId="1524" xr:uid="{00000000-0005-0000-0000-0000F5050000}"/>
    <cellStyle name="oft Excel]_x000d__x000a_Comment=open=/f ‚ðw’è‚·‚é‚ÆAƒ†[ƒU[’è‹`ŠÖ”‚ðŠÖ”“\‚è•t‚¯‚Ìˆê——‚É“o˜^‚·‚é‚±‚Æ‚ª‚Å‚«‚Ü‚·B_x000d__x000a_Maximized" xfId="1525" xr:uid="{00000000-0005-0000-0000-0000F6050000}"/>
    <cellStyle name="oft Excel]_x000d__x000a_Comment=open=/f ‚ðŽw’è‚·‚é‚ÆAƒ†[ƒU[’è‹`ŠÖ”‚ðŠÖ”“\‚è•t‚¯‚Ìˆê——‚É“o˜^‚·‚é‚±‚Æ‚ª‚Å‚«‚Ü‚·B_x000d__x000a_Maximized" xfId="1526" xr:uid="{00000000-0005-0000-0000-0000F7050000}"/>
    <cellStyle name="oft Excel]_x000d__x000a_Comment=The open=/f lines load custom functions into the Paste Function list._x000d__x000a_Maximized=2_x000d__x000a_Basics=1_x000d__x000a_A" xfId="1527" xr:uid="{00000000-0005-0000-0000-0000F8050000}"/>
    <cellStyle name="oft Excel]_x000d__x000a_Comment=The open=/f lines load custom functions into the Paste Function list._x000d__x000a_Maximized=3_x000d__x000a_Basics=1_x000d__x000a_A" xfId="1528" xr:uid="{00000000-0005-0000-0000-0000F9050000}"/>
    <cellStyle name="omma [0]_Mktg Prog" xfId="1529" xr:uid="{00000000-0005-0000-0000-0000FA050000}"/>
    <cellStyle name="ormal_Sheet1_1" xfId="1530" xr:uid="{00000000-0005-0000-0000-0000FB050000}"/>
    <cellStyle name="Output 2" xfId="1531" xr:uid="{00000000-0005-0000-0000-0000FC050000}"/>
    <cellStyle name="Output 2 2" xfId="1532" xr:uid="{00000000-0005-0000-0000-0000FD050000}"/>
    <cellStyle name="Output 3" xfId="1533" xr:uid="{00000000-0005-0000-0000-0000FE050000}"/>
    <cellStyle name="Ô Được nối kết" xfId="1521" xr:uid="{00000000-0005-0000-0000-0000F2050000}"/>
    <cellStyle name="p" xfId="1534" xr:uid="{00000000-0005-0000-0000-0000FF050000}"/>
    <cellStyle name="paint" xfId="1535" xr:uid="{00000000-0005-0000-0000-000000060000}"/>
    <cellStyle name="Pattern" xfId="1536" xr:uid="{00000000-0005-0000-0000-000001060000}"/>
    <cellStyle name="per.style" xfId="1537" xr:uid="{00000000-0005-0000-0000-000002060000}"/>
    <cellStyle name="Percent" xfId="2266" builtinId="5"/>
    <cellStyle name="Percent [0]" xfId="1538" xr:uid="{00000000-0005-0000-0000-000004060000}"/>
    <cellStyle name="Percent [00]" xfId="1539" xr:uid="{00000000-0005-0000-0000-000005060000}"/>
    <cellStyle name="Percent [2]" xfId="1540" xr:uid="{00000000-0005-0000-0000-000006060000}"/>
    <cellStyle name="Percent 10" xfId="1541" xr:uid="{00000000-0005-0000-0000-000007060000}"/>
    <cellStyle name="Percent 2" xfId="1542" xr:uid="{00000000-0005-0000-0000-000008060000}"/>
    <cellStyle name="Percent 2 2" xfId="1543" xr:uid="{00000000-0005-0000-0000-000009060000}"/>
    <cellStyle name="Percent 3" xfId="1544" xr:uid="{00000000-0005-0000-0000-00000A060000}"/>
    <cellStyle name="Percent 4" xfId="1545" xr:uid="{00000000-0005-0000-0000-00000B060000}"/>
    <cellStyle name="Percent 5" xfId="1546" xr:uid="{00000000-0005-0000-0000-00000C060000}"/>
    <cellStyle name="Percent 6" xfId="1547" xr:uid="{00000000-0005-0000-0000-00000D060000}"/>
    <cellStyle name="Percent 9 3" xfId="2265" xr:uid="{00000000-0005-0000-0000-00000E060000}"/>
    <cellStyle name="Percent 9 3 2" xfId="2267" xr:uid="{00000000-0005-0000-0000-00000F060000}"/>
    <cellStyle name="PERCENTAGE" xfId="1548" xr:uid="{00000000-0005-0000-0000-000010060000}"/>
    <cellStyle name="Pourcentage" xfId="1550" xr:uid="{00000000-0005-0000-0000-000012060000}"/>
    <cellStyle name="Pourcentage 2" xfId="1551" xr:uid="{00000000-0005-0000-0000-000013060000}"/>
    <cellStyle name="PrePop Currency (0)" xfId="1552" xr:uid="{00000000-0005-0000-0000-000014060000}"/>
    <cellStyle name="PrePop Currency (2)" xfId="1553" xr:uid="{00000000-0005-0000-0000-000015060000}"/>
    <cellStyle name="PrePop Units (0)" xfId="1554" xr:uid="{00000000-0005-0000-0000-000016060000}"/>
    <cellStyle name="PrePop Units (1)" xfId="1555" xr:uid="{00000000-0005-0000-0000-000017060000}"/>
    <cellStyle name="PrePop Units (2)" xfId="1556" xr:uid="{00000000-0005-0000-0000-000018060000}"/>
    <cellStyle name="pricing" xfId="1557" xr:uid="{00000000-0005-0000-0000-000019060000}"/>
    <cellStyle name="PSChar" xfId="1558" xr:uid="{00000000-0005-0000-0000-00001A060000}"/>
    <cellStyle name="PSHeading" xfId="1559" xr:uid="{00000000-0005-0000-0000-00001B060000}"/>
    <cellStyle name="PHONG" xfId="1549" xr:uid="{00000000-0005-0000-0000-000011060000}"/>
    <cellStyle name="regstoresfromspecstores" xfId="1560" xr:uid="{00000000-0005-0000-0000-00001C060000}"/>
    <cellStyle name="RevList" xfId="1561" xr:uid="{00000000-0005-0000-0000-00001D060000}"/>
    <cellStyle name="rlink_tiªn l­în_x001b_Hyperlink_TONG HOP KINH PHI" xfId="1562" xr:uid="{00000000-0005-0000-0000-00001E060000}"/>
    <cellStyle name="rmal_ADAdot" xfId="1563" xr:uid="{00000000-0005-0000-0000-00001F060000}"/>
    <cellStyle name="S—_x0008_" xfId="1564" xr:uid="{00000000-0005-0000-0000-000020060000}"/>
    <cellStyle name="s]_x000d__x000a_spooler=yes_x000d__x000a_load=_x000d__x000a_Beep=yes_x000d__x000a_NullPort=None_x000d__x000a_BorderWidth=3_x000d__x000a_CursorBlinkRate=1200_x000d__x000a_DoubleClickSpeed=452_x000d__x000a_Programs=co" xfId="1565" xr:uid="{00000000-0005-0000-0000-000021060000}"/>
    <cellStyle name="SAPBEXaggData" xfId="1566" xr:uid="{00000000-0005-0000-0000-000022060000}"/>
    <cellStyle name="SAPBEXaggData 2" xfId="1567" xr:uid="{00000000-0005-0000-0000-000023060000}"/>
    <cellStyle name="SAPBEXaggDataEmph" xfId="1568" xr:uid="{00000000-0005-0000-0000-000024060000}"/>
    <cellStyle name="SAPBEXaggDataEmph 2" xfId="1569" xr:uid="{00000000-0005-0000-0000-000025060000}"/>
    <cellStyle name="SAPBEXaggItem" xfId="1570" xr:uid="{00000000-0005-0000-0000-000026060000}"/>
    <cellStyle name="SAPBEXaggItem 2" xfId="1571" xr:uid="{00000000-0005-0000-0000-000027060000}"/>
    <cellStyle name="SAPBEXchaText" xfId="1572" xr:uid="{00000000-0005-0000-0000-000028060000}"/>
    <cellStyle name="SAPBEXexcBad7" xfId="1573" xr:uid="{00000000-0005-0000-0000-000029060000}"/>
    <cellStyle name="SAPBEXexcBad7 2" xfId="1574" xr:uid="{00000000-0005-0000-0000-00002A060000}"/>
    <cellStyle name="SAPBEXexcBad8" xfId="1575" xr:uid="{00000000-0005-0000-0000-00002B060000}"/>
    <cellStyle name="SAPBEXexcBad8 2" xfId="1576" xr:uid="{00000000-0005-0000-0000-00002C060000}"/>
    <cellStyle name="SAPBEXexcBad9" xfId="1577" xr:uid="{00000000-0005-0000-0000-00002D060000}"/>
    <cellStyle name="SAPBEXexcBad9 2" xfId="1578" xr:uid="{00000000-0005-0000-0000-00002E060000}"/>
    <cellStyle name="SAPBEXexcCritical4" xfId="1579" xr:uid="{00000000-0005-0000-0000-00002F060000}"/>
    <cellStyle name="SAPBEXexcCritical4 2" xfId="1580" xr:uid="{00000000-0005-0000-0000-000030060000}"/>
    <cellStyle name="SAPBEXexcCritical5" xfId="1581" xr:uid="{00000000-0005-0000-0000-000031060000}"/>
    <cellStyle name="SAPBEXexcCritical5 2" xfId="1582" xr:uid="{00000000-0005-0000-0000-000032060000}"/>
    <cellStyle name="SAPBEXexcCritical6" xfId="1583" xr:uid="{00000000-0005-0000-0000-000033060000}"/>
    <cellStyle name="SAPBEXexcCritical6 2" xfId="1584" xr:uid="{00000000-0005-0000-0000-000034060000}"/>
    <cellStyle name="SAPBEXexcGood1" xfId="1585" xr:uid="{00000000-0005-0000-0000-000035060000}"/>
    <cellStyle name="SAPBEXexcGood1 2" xfId="1586" xr:uid="{00000000-0005-0000-0000-000036060000}"/>
    <cellStyle name="SAPBEXexcGood2" xfId="1587" xr:uid="{00000000-0005-0000-0000-000037060000}"/>
    <cellStyle name="SAPBEXexcGood2 2" xfId="1588" xr:uid="{00000000-0005-0000-0000-000038060000}"/>
    <cellStyle name="SAPBEXexcGood3" xfId="1589" xr:uid="{00000000-0005-0000-0000-000039060000}"/>
    <cellStyle name="SAPBEXexcGood3 2" xfId="1590" xr:uid="{00000000-0005-0000-0000-00003A060000}"/>
    <cellStyle name="SAPBEXfilterDrill" xfId="1591" xr:uid="{00000000-0005-0000-0000-00003B060000}"/>
    <cellStyle name="SAPBEXfilterItem" xfId="1592" xr:uid="{00000000-0005-0000-0000-00003C060000}"/>
    <cellStyle name="SAPBEXfilterText" xfId="1593" xr:uid="{00000000-0005-0000-0000-00003D060000}"/>
    <cellStyle name="SAPBEXformats" xfId="1594" xr:uid="{00000000-0005-0000-0000-00003E060000}"/>
    <cellStyle name="SAPBEXformats 2" xfId="1595" xr:uid="{00000000-0005-0000-0000-00003F060000}"/>
    <cellStyle name="SAPBEXheaderItem" xfId="1596" xr:uid="{00000000-0005-0000-0000-000040060000}"/>
    <cellStyle name="SAPBEXheaderText" xfId="1597" xr:uid="{00000000-0005-0000-0000-000041060000}"/>
    <cellStyle name="SAPBEXresData" xfId="1598" xr:uid="{00000000-0005-0000-0000-000042060000}"/>
    <cellStyle name="SAPBEXresData 2" xfId="1599" xr:uid="{00000000-0005-0000-0000-000043060000}"/>
    <cellStyle name="SAPBEXresDataEmph" xfId="1600" xr:uid="{00000000-0005-0000-0000-000044060000}"/>
    <cellStyle name="SAPBEXresDataEmph 2" xfId="1601" xr:uid="{00000000-0005-0000-0000-000045060000}"/>
    <cellStyle name="SAPBEXresItem" xfId="1602" xr:uid="{00000000-0005-0000-0000-000046060000}"/>
    <cellStyle name="SAPBEXresItem 2" xfId="1603" xr:uid="{00000000-0005-0000-0000-000047060000}"/>
    <cellStyle name="SAPBEXstdData" xfId="1604" xr:uid="{00000000-0005-0000-0000-000048060000}"/>
    <cellStyle name="SAPBEXstdData 2" xfId="1605" xr:uid="{00000000-0005-0000-0000-000049060000}"/>
    <cellStyle name="SAPBEXstdDataEmph" xfId="1606" xr:uid="{00000000-0005-0000-0000-00004A060000}"/>
    <cellStyle name="SAPBEXstdDataEmph 2" xfId="1607" xr:uid="{00000000-0005-0000-0000-00004B060000}"/>
    <cellStyle name="SAPBEXstdItem" xfId="1608" xr:uid="{00000000-0005-0000-0000-00004C060000}"/>
    <cellStyle name="SAPBEXstdItem 2" xfId="1609" xr:uid="{00000000-0005-0000-0000-00004D060000}"/>
    <cellStyle name="SAPBEXtitle" xfId="1610" xr:uid="{00000000-0005-0000-0000-00004E060000}"/>
    <cellStyle name="SAPBEXtitle 2" xfId="1611" xr:uid="{00000000-0005-0000-0000-00004F060000}"/>
    <cellStyle name="SAPBEXundefined" xfId="1612" xr:uid="{00000000-0005-0000-0000-000050060000}"/>
    <cellStyle name="SAPBEXundefined 2" xfId="1613" xr:uid="{00000000-0005-0000-0000-000051060000}"/>
    <cellStyle name="serJet 1200 Series PCL 6" xfId="1614" xr:uid="{00000000-0005-0000-0000-000052060000}"/>
    <cellStyle name="SHADEDSTORES" xfId="1615" xr:uid="{00000000-0005-0000-0000-000053060000}"/>
    <cellStyle name="SHADEDSTORES 2" xfId="1616" xr:uid="{00000000-0005-0000-0000-000054060000}"/>
    <cellStyle name="so" xfId="1617" xr:uid="{00000000-0005-0000-0000-000055060000}"/>
    <cellStyle name="SO%" xfId="1618" xr:uid="{00000000-0005-0000-0000-000056060000}"/>
    <cellStyle name="so_Book1" xfId="1619" xr:uid="{00000000-0005-0000-0000-000057060000}"/>
    <cellStyle name="songuyen" xfId="1620" xr:uid="{00000000-0005-0000-0000-000058060000}"/>
    <cellStyle name="specstores" xfId="1621" xr:uid="{00000000-0005-0000-0000-000059060000}"/>
    <cellStyle name="Standard" xfId="1622" xr:uid="{00000000-0005-0000-0000-00005A060000}"/>
    <cellStyle name="Standard 2" xfId="1623" xr:uid="{00000000-0005-0000-0000-00005B060000}"/>
    <cellStyle name="Standard_AAbgleich" xfId="1624" xr:uid="{00000000-0005-0000-0000-00005C060000}"/>
    <cellStyle name="STT" xfId="1625" xr:uid="{00000000-0005-0000-0000-00005D060000}"/>
    <cellStyle name="STTDG" xfId="1626" xr:uid="{00000000-0005-0000-0000-00005E060000}"/>
    <cellStyle name="style" xfId="1627" xr:uid="{00000000-0005-0000-0000-00005F060000}"/>
    <cellStyle name="Style 1" xfId="1628" xr:uid="{00000000-0005-0000-0000-000060060000}"/>
    <cellStyle name="Style 10" xfId="1629" xr:uid="{00000000-0005-0000-0000-000061060000}"/>
    <cellStyle name="Style 100" xfId="1630" xr:uid="{00000000-0005-0000-0000-000062060000}"/>
    <cellStyle name="Style 101" xfId="1631" xr:uid="{00000000-0005-0000-0000-000063060000}"/>
    <cellStyle name="Style 102" xfId="1632" xr:uid="{00000000-0005-0000-0000-000064060000}"/>
    <cellStyle name="Style 103" xfId="1633" xr:uid="{00000000-0005-0000-0000-000065060000}"/>
    <cellStyle name="Style 104" xfId="1634" xr:uid="{00000000-0005-0000-0000-000066060000}"/>
    <cellStyle name="Style 105" xfId="1635" xr:uid="{00000000-0005-0000-0000-000067060000}"/>
    <cellStyle name="Style 106" xfId="1636" xr:uid="{00000000-0005-0000-0000-000068060000}"/>
    <cellStyle name="Style 107" xfId="1637" xr:uid="{00000000-0005-0000-0000-000069060000}"/>
    <cellStyle name="Style 108" xfId="1638" xr:uid="{00000000-0005-0000-0000-00006A060000}"/>
    <cellStyle name="Style 109" xfId="1639" xr:uid="{00000000-0005-0000-0000-00006B060000}"/>
    <cellStyle name="Style 11" xfId="1640" xr:uid="{00000000-0005-0000-0000-00006C060000}"/>
    <cellStyle name="Style 110" xfId="1641" xr:uid="{00000000-0005-0000-0000-00006D060000}"/>
    <cellStyle name="Style 111" xfId="1642" xr:uid="{00000000-0005-0000-0000-00006E060000}"/>
    <cellStyle name="Style 112" xfId="1643" xr:uid="{00000000-0005-0000-0000-00006F060000}"/>
    <cellStyle name="Style 113" xfId="1644" xr:uid="{00000000-0005-0000-0000-000070060000}"/>
    <cellStyle name="Style 114" xfId="1645" xr:uid="{00000000-0005-0000-0000-000071060000}"/>
    <cellStyle name="Style 115" xfId="1646" xr:uid="{00000000-0005-0000-0000-000072060000}"/>
    <cellStyle name="Style 116" xfId="1647" xr:uid="{00000000-0005-0000-0000-000073060000}"/>
    <cellStyle name="Style 117" xfId="1648" xr:uid="{00000000-0005-0000-0000-000074060000}"/>
    <cellStyle name="Style 118" xfId="1649" xr:uid="{00000000-0005-0000-0000-000075060000}"/>
    <cellStyle name="Style 119" xfId="1650" xr:uid="{00000000-0005-0000-0000-000076060000}"/>
    <cellStyle name="Style 12" xfId="1651" xr:uid="{00000000-0005-0000-0000-000077060000}"/>
    <cellStyle name="Style 120" xfId="1652" xr:uid="{00000000-0005-0000-0000-000078060000}"/>
    <cellStyle name="Style 121" xfId="1653" xr:uid="{00000000-0005-0000-0000-000079060000}"/>
    <cellStyle name="Style 122" xfId="1654" xr:uid="{00000000-0005-0000-0000-00007A060000}"/>
    <cellStyle name="Style 123" xfId="1655" xr:uid="{00000000-0005-0000-0000-00007B060000}"/>
    <cellStyle name="Style 124" xfId="1656" xr:uid="{00000000-0005-0000-0000-00007C060000}"/>
    <cellStyle name="Style 125" xfId="1657" xr:uid="{00000000-0005-0000-0000-00007D060000}"/>
    <cellStyle name="Style 126" xfId="1658" xr:uid="{00000000-0005-0000-0000-00007E060000}"/>
    <cellStyle name="Style 127" xfId="1659" xr:uid="{00000000-0005-0000-0000-00007F060000}"/>
    <cellStyle name="Style 128" xfId="1660" xr:uid="{00000000-0005-0000-0000-000080060000}"/>
    <cellStyle name="Style 129" xfId="1661" xr:uid="{00000000-0005-0000-0000-000081060000}"/>
    <cellStyle name="Style 13" xfId="1662" xr:uid="{00000000-0005-0000-0000-000082060000}"/>
    <cellStyle name="Style 130" xfId="1663" xr:uid="{00000000-0005-0000-0000-000083060000}"/>
    <cellStyle name="Style 131" xfId="1664" xr:uid="{00000000-0005-0000-0000-000084060000}"/>
    <cellStyle name="Style 132" xfId="1665" xr:uid="{00000000-0005-0000-0000-000085060000}"/>
    <cellStyle name="Style 133" xfId="1666" xr:uid="{00000000-0005-0000-0000-000086060000}"/>
    <cellStyle name="Style 134" xfId="1667" xr:uid="{00000000-0005-0000-0000-000087060000}"/>
    <cellStyle name="Style 135" xfId="1668" xr:uid="{00000000-0005-0000-0000-000088060000}"/>
    <cellStyle name="Style 135 2" xfId="1669" xr:uid="{00000000-0005-0000-0000-000089060000}"/>
    <cellStyle name="Style 136" xfId="1670" xr:uid="{00000000-0005-0000-0000-00008A060000}"/>
    <cellStyle name="Style 137" xfId="1671" xr:uid="{00000000-0005-0000-0000-00008B060000}"/>
    <cellStyle name="Style 138" xfId="1672" xr:uid="{00000000-0005-0000-0000-00008C060000}"/>
    <cellStyle name="Style 139" xfId="1673" xr:uid="{00000000-0005-0000-0000-00008D060000}"/>
    <cellStyle name="Style 14" xfId="1674" xr:uid="{00000000-0005-0000-0000-00008E060000}"/>
    <cellStyle name="Style 140" xfId="1675" xr:uid="{00000000-0005-0000-0000-00008F060000}"/>
    <cellStyle name="Style 140 2" xfId="1676" xr:uid="{00000000-0005-0000-0000-000090060000}"/>
    <cellStyle name="Style 141" xfId="1677" xr:uid="{00000000-0005-0000-0000-000091060000}"/>
    <cellStyle name="Style 142" xfId="1678" xr:uid="{00000000-0005-0000-0000-000092060000}"/>
    <cellStyle name="Style 143" xfId="1679" xr:uid="{00000000-0005-0000-0000-000093060000}"/>
    <cellStyle name="Style 144" xfId="1680" xr:uid="{00000000-0005-0000-0000-000094060000}"/>
    <cellStyle name="Style 145" xfId="1681" xr:uid="{00000000-0005-0000-0000-000095060000}"/>
    <cellStyle name="Style 146" xfId="1682" xr:uid="{00000000-0005-0000-0000-000096060000}"/>
    <cellStyle name="Style 147" xfId="1683" xr:uid="{00000000-0005-0000-0000-000097060000}"/>
    <cellStyle name="Style 148" xfId="1684" xr:uid="{00000000-0005-0000-0000-000098060000}"/>
    <cellStyle name="Style 149" xfId="1685" xr:uid="{00000000-0005-0000-0000-000099060000}"/>
    <cellStyle name="Style 15" xfId="1686" xr:uid="{00000000-0005-0000-0000-00009A060000}"/>
    <cellStyle name="Style 150" xfId="1687" xr:uid="{00000000-0005-0000-0000-00009B060000}"/>
    <cellStyle name="Style 151" xfId="1688" xr:uid="{00000000-0005-0000-0000-00009C060000}"/>
    <cellStyle name="Style 152" xfId="1689" xr:uid="{00000000-0005-0000-0000-00009D060000}"/>
    <cellStyle name="Style 153" xfId="1690" xr:uid="{00000000-0005-0000-0000-00009E060000}"/>
    <cellStyle name="Style 154" xfId="1691" xr:uid="{00000000-0005-0000-0000-00009F060000}"/>
    <cellStyle name="Style 155" xfId="1692" xr:uid="{00000000-0005-0000-0000-0000A0060000}"/>
    <cellStyle name="Style 156" xfId="1693" xr:uid="{00000000-0005-0000-0000-0000A1060000}"/>
    <cellStyle name="Style 157" xfId="1694" xr:uid="{00000000-0005-0000-0000-0000A2060000}"/>
    <cellStyle name="Style 158" xfId="1695" xr:uid="{00000000-0005-0000-0000-0000A3060000}"/>
    <cellStyle name="Style 159" xfId="1696" xr:uid="{00000000-0005-0000-0000-0000A4060000}"/>
    <cellStyle name="Style 16" xfId="1697" xr:uid="{00000000-0005-0000-0000-0000A5060000}"/>
    <cellStyle name="Style 160" xfId="1698" xr:uid="{00000000-0005-0000-0000-0000A6060000}"/>
    <cellStyle name="Style 161" xfId="1699" xr:uid="{00000000-0005-0000-0000-0000A7060000}"/>
    <cellStyle name="Style 162" xfId="1700" xr:uid="{00000000-0005-0000-0000-0000A8060000}"/>
    <cellStyle name="Style 163" xfId="1701" xr:uid="{00000000-0005-0000-0000-0000A9060000}"/>
    <cellStyle name="Style 17" xfId="1702" xr:uid="{00000000-0005-0000-0000-0000AA060000}"/>
    <cellStyle name="Style 18" xfId="1703" xr:uid="{00000000-0005-0000-0000-0000AB060000}"/>
    <cellStyle name="Style 19" xfId="1704" xr:uid="{00000000-0005-0000-0000-0000AC060000}"/>
    <cellStyle name="Style 2" xfId="1705" xr:uid="{00000000-0005-0000-0000-0000AD060000}"/>
    <cellStyle name="Style 20" xfId="1706" xr:uid="{00000000-0005-0000-0000-0000AE060000}"/>
    <cellStyle name="Style 21" xfId="1707" xr:uid="{00000000-0005-0000-0000-0000AF060000}"/>
    <cellStyle name="Style 22" xfId="1708" xr:uid="{00000000-0005-0000-0000-0000B0060000}"/>
    <cellStyle name="Style 23" xfId="1709" xr:uid="{00000000-0005-0000-0000-0000B1060000}"/>
    <cellStyle name="Style 24" xfId="1710" xr:uid="{00000000-0005-0000-0000-0000B2060000}"/>
    <cellStyle name="Style 25" xfId="1711" xr:uid="{00000000-0005-0000-0000-0000B3060000}"/>
    <cellStyle name="Style 26" xfId="1712" xr:uid="{00000000-0005-0000-0000-0000B4060000}"/>
    <cellStyle name="Style 27" xfId="1713" xr:uid="{00000000-0005-0000-0000-0000B5060000}"/>
    <cellStyle name="Style 28" xfId="1714" xr:uid="{00000000-0005-0000-0000-0000B6060000}"/>
    <cellStyle name="Style 29" xfId="1715" xr:uid="{00000000-0005-0000-0000-0000B7060000}"/>
    <cellStyle name="Style 3" xfId="1716" xr:uid="{00000000-0005-0000-0000-0000B8060000}"/>
    <cellStyle name="Style 30" xfId="1717" xr:uid="{00000000-0005-0000-0000-0000B9060000}"/>
    <cellStyle name="Style 31" xfId="1718" xr:uid="{00000000-0005-0000-0000-0000BA060000}"/>
    <cellStyle name="Style 32" xfId="1719" xr:uid="{00000000-0005-0000-0000-0000BB060000}"/>
    <cellStyle name="Style 33" xfId="1720" xr:uid="{00000000-0005-0000-0000-0000BC060000}"/>
    <cellStyle name="Style 34" xfId="1721" xr:uid="{00000000-0005-0000-0000-0000BD060000}"/>
    <cellStyle name="Style 35" xfId="1722" xr:uid="{00000000-0005-0000-0000-0000BE060000}"/>
    <cellStyle name="Style 36" xfId="1723" xr:uid="{00000000-0005-0000-0000-0000BF060000}"/>
    <cellStyle name="Style 37" xfId="1724" xr:uid="{00000000-0005-0000-0000-0000C0060000}"/>
    <cellStyle name="Style 38" xfId="1725" xr:uid="{00000000-0005-0000-0000-0000C1060000}"/>
    <cellStyle name="Style 39" xfId="1726" xr:uid="{00000000-0005-0000-0000-0000C2060000}"/>
    <cellStyle name="Style 4" xfId="1727" xr:uid="{00000000-0005-0000-0000-0000C3060000}"/>
    <cellStyle name="Style 40" xfId="1728" xr:uid="{00000000-0005-0000-0000-0000C4060000}"/>
    <cellStyle name="Style 41" xfId="1729" xr:uid="{00000000-0005-0000-0000-0000C5060000}"/>
    <cellStyle name="Style 42" xfId="1730" xr:uid="{00000000-0005-0000-0000-0000C6060000}"/>
    <cellStyle name="Style 43" xfId="1731" xr:uid="{00000000-0005-0000-0000-0000C7060000}"/>
    <cellStyle name="Style 44" xfId="1732" xr:uid="{00000000-0005-0000-0000-0000C8060000}"/>
    <cellStyle name="Style 45" xfId="1733" xr:uid="{00000000-0005-0000-0000-0000C9060000}"/>
    <cellStyle name="Style 46" xfId="1734" xr:uid="{00000000-0005-0000-0000-0000CA060000}"/>
    <cellStyle name="Style 47" xfId="1735" xr:uid="{00000000-0005-0000-0000-0000CB060000}"/>
    <cellStyle name="Style 48" xfId="1736" xr:uid="{00000000-0005-0000-0000-0000CC060000}"/>
    <cellStyle name="Style 49" xfId="1737" xr:uid="{00000000-0005-0000-0000-0000CD060000}"/>
    <cellStyle name="Style 5" xfId="1738" xr:uid="{00000000-0005-0000-0000-0000CE060000}"/>
    <cellStyle name="Style 50" xfId="1739" xr:uid="{00000000-0005-0000-0000-0000CF060000}"/>
    <cellStyle name="Style 51" xfId="1740" xr:uid="{00000000-0005-0000-0000-0000D0060000}"/>
    <cellStyle name="Style 52" xfId="1741" xr:uid="{00000000-0005-0000-0000-0000D1060000}"/>
    <cellStyle name="Style 53" xfId="1742" xr:uid="{00000000-0005-0000-0000-0000D2060000}"/>
    <cellStyle name="Style 54" xfId="1743" xr:uid="{00000000-0005-0000-0000-0000D3060000}"/>
    <cellStyle name="Style 55" xfId="1744" xr:uid="{00000000-0005-0000-0000-0000D4060000}"/>
    <cellStyle name="Style 56" xfId="1745" xr:uid="{00000000-0005-0000-0000-0000D5060000}"/>
    <cellStyle name="Style 57" xfId="1746" xr:uid="{00000000-0005-0000-0000-0000D6060000}"/>
    <cellStyle name="Style 58" xfId="1747" xr:uid="{00000000-0005-0000-0000-0000D7060000}"/>
    <cellStyle name="Style 59" xfId="1748" xr:uid="{00000000-0005-0000-0000-0000D8060000}"/>
    <cellStyle name="Style 6" xfId="1749" xr:uid="{00000000-0005-0000-0000-0000D9060000}"/>
    <cellStyle name="Style 60" xfId="1750" xr:uid="{00000000-0005-0000-0000-0000DA060000}"/>
    <cellStyle name="Style 61" xfId="1751" xr:uid="{00000000-0005-0000-0000-0000DB060000}"/>
    <cellStyle name="Style 62" xfId="1752" xr:uid="{00000000-0005-0000-0000-0000DC060000}"/>
    <cellStyle name="Style 63" xfId="1753" xr:uid="{00000000-0005-0000-0000-0000DD060000}"/>
    <cellStyle name="Style 64" xfId="1754" xr:uid="{00000000-0005-0000-0000-0000DE060000}"/>
    <cellStyle name="Style 65" xfId="1755" xr:uid="{00000000-0005-0000-0000-0000DF060000}"/>
    <cellStyle name="Style 66" xfId="1756" xr:uid="{00000000-0005-0000-0000-0000E0060000}"/>
    <cellStyle name="Style 67" xfId="1757" xr:uid="{00000000-0005-0000-0000-0000E1060000}"/>
    <cellStyle name="Style 68" xfId="1758" xr:uid="{00000000-0005-0000-0000-0000E2060000}"/>
    <cellStyle name="Style 69" xfId="1759" xr:uid="{00000000-0005-0000-0000-0000E3060000}"/>
    <cellStyle name="Style 7" xfId="1760" xr:uid="{00000000-0005-0000-0000-0000E4060000}"/>
    <cellStyle name="Style 70" xfId="1761" xr:uid="{00000000-0005-0000-0000-0000E5060000}"/>
    <cellStyle name="Style 71" xfId="1762" xr:uid="{00000000-0005-0000-0000-0000E6060000}"/>
    <cellStyle name="Style 72" xfId="1763" xr:uid="{00000000-0005-0000-0000-0000E7060000}"/>
    <cellStyle name="Style 73" xfId="1764" xr:uid="{00000000-0005-0000-0000-0000E8060000}"/>
    <cellStyle name="Style 74" xfId="1765" xr:uid="{00000000-0005-0000-0000-0000E9060000}"/>
    <cellStyle name="Style 75" xfId="1766" xr:uid="{00000000-0005-0000-0000-0000EA060000}"/>
    <cellStyle name="Style 76" xfId="1767" xr:uid="{00000000-0005-0000-0000-0000EB060000}"/>
    <cellStyle name="Style 77" xfId="1768" xr:uid="{00000000-0005-0000-0000-0000EC060000}"/>
    <cellStyle name="Style 78" xfId="1769" xr:uid="{00000000-0005-0000-0000-0000ED060000}"/>
    <cellStyle name="Style 79" xfId="1770" xr:uid="{00000000-0005-0000-0000-0000EE060000}"/>
    <cellStyle name="Style 8" xfId="1771" xr:uid="{00000000-0005-0000-0000-0000EF060000}"/>
    <cellStyle name="Style 80" xfId="1772" xr:uid="{00000000-0005-0000-0000-0000F0060000}"/>
    <cellStyle name="Style 81" xfId="1773" xr:uid="{00000000-0005-0000-0000-0000F1060000}"/>
    <cellStyle name="Style 82" xfId="1774" xr:uid="{00000000-0005-0000-0000-0000F2060000}"/>
    <cellStyle name="Style 83" xfId="1775" xr:uid="{00000000-0005-0000-0000-0000F3060000}"/>
    <cellStyle name="Style 84" xfId="1776" xr:uid="{00000000-0005-0000-0000-0000F4060000}"/>
    <cellStyle name="Style 85" xfId="1777" xr:uid="{00000000-0005-0000-0000-0000F5060000}"/>
    <cellStyle name="Style 86" xfId="1778" xr:uid="{00000000-0005-0000-0000-0000F6060000}"/>
    <cellStyle name="Style 87" xfId="1779" xr:uid="{00000000-0005-0000-0000-0000F7060000}"/>
    <cellStyle name="Style 88" xfId="1780" xr:uid="{00000000-0005-0000-0000-0000F8060000}"/>
    <cellStyle name="Style 89" xfId="1781" xr:uid="{00000000-0005-0000-0000-0000F9060000}"/>
    <cellStyle name="Style 9" xfId="1782" xr:uid="{00000000-0005-0000-0000-0000FA060000}"/>
    <cellStyle name="Style 90" xfId="1783" xr:uid="{00000000-0005-0000-0000-0000FB060000}"/>
    <cellStyle name="Style 91" xfId="1784" xr:uid="{00000000-0005-0000-0000-0000FC060000}"/>
    <cellStyle name="Style 92" xfId="1785" xr:uid="{00000000-0005-0000-0000-0000FD060000}"/>
    <cellStyle name="Style 93" xfId="1786" xr:uid="{00000000-0005-0000-0000-0000FE060000}"/>
    <cellStyle name="Style 94" xfId="1787" xr:uid="{00000000-0005-0000-0000-0000FF060000}"/>
    <cellStyle name="Style 95" xfId="1788" xr:uid="{00000000-0005-0000-0000-000000070000}"/>
    <cellStyle name="Style 96" xfId="1789" xr:uid="{00000000-0005-0000-0000-000001070000}"/>
    <cellStyle name="Style 97" xfId="1790" xr:uid="{00000000-0005-0000-0000-000002070000}"/>
    <cellStyle name="Style 98" xfId="1791" xr:uid="{00000000-0005-0000-0000-000003070000}"/>
    <cellStyle name="Style 99" xfId="1792" xr:uid="{00000000-0005-0000-0000-000004070000}"/>
    <cellStyle name="Style Date" xfId="1793" xr:uid="{00000000-0005-0000-0000-000005070000}"/>
    <cellStyle name="Style Date 2" xfId="1794" xr:uid="{00000000-0005-0000-0000-000006070000}"/>
    <cellStyle name="style_1" xfId="1795" xr:uid="{00000000-0005-0000-0000-000007070000}"/>
    <cellStyle name="subhead" xfId="1796" xr:uid="{00000000-0005-0000-0000-000008070000}"/>
    <cellStyle name="Subtotal" xfId="1797" xr:uid="{00000000-0005-0000-0000-000009070000}"/>
    <cellStyle name="symbol" xfId="1798" xr:uid="{00000000-0005-0000-0000-00000A070000}"/>
    <cellStyle name="T" xfId="1799" xr:uid="{00000000-0005-0000-0000-00000B070000}"/>
    <cellStyle name="T 2" xfId="1800" xr:uid="{00000000-0005-0000-0000-00000C070000}"/>
    <cellStyle name="T_50-BB Vung tau 2011" xfId="1801" xr:uid="{00000000-0005-0000-0000-00000D070000}"/>
    <cellStyle name="T_50-BB Vung tau 2011_27-8Tong hop PA uoc 2012-DT 2013 -PA 420.000 ty-490.000 ty chuyen doi" xfId="1802" xr:uid="{00000000-0005-0000-0000-00000E070000}"/>
    <cellStyle name="T_BANG LUONG MOI KSDH va KSDC (co phu cap khu vuc)" xfId="1803" xr:uid="{00000000-0005-0000-0000-00000F070000}"/>
    <cellStyle name="T_BANG LUONG MOI KSDH va KSDC (co phu cap khu vuc) 2" xfId="1804" xr:uid="{00000000-0005-0000-0000-000010070000}"/>
    <cellStyle name="T_bao cao" xfId="1805" xr:uid="{00000000-0005-0000-0000-000011070000}"/>
    <cellStyle name="T_bao cao 2" xfId="1806" xr:uid="{00000000-0005-0000-0000-000012070000}"/>
    <cellStyle name="T_Bao cao so lieu kiem toan nam 2007 sua" xfId="1807" xr:uid="{00000000-0005-0000-0000-000013070000}"/>
    <cellStyle name="T_Bao cao so lieu kiem toan nam 2007 sua 2" xfId="1808" xr:uid="{00000000-0005-0000-0000-000014070000}"/>
    <cellStyle name="T_BBTNG-06" xfId="1809" xr:uid="{00000000-0005-0000-0000-000015070000}"/>
    <cellStyle name="T_BBTNG-06 2" xfId="1810" xr:uid="{00000000-0005-0000-0000-000016070000}"/>
    <cellStyle name="T_BC CTMT-2008 Ttinh" xfId="1811" xr:uid="{00000000-0005-0000-0000-000017070000}"/>
    <cellStyle name="T_BC CTMT-2008 Ttinh 2" xfId="1812" xr:uid="{00000000-0005-0000-0000-000018070000}"/>
    <cellStyle name="T_BC CTMT-2008 Ttinh_bieu tong hop" xfId="1813" xr:uid="{00000000-0005-0000-0000-000019070000}"/>
    <cellStyle name="T_BC CTMT-2008 Ttinh_bieu tong hop 2" xfId="1814" xr:uid="{00000000-0005-0000-0000-00001A070000}"/>
    <cellStyle name="T_BC CTMT-2008 Ttinh_Tong hop ra soat von ung 2011 -Chau" xfId="1815" xr:uid="{00000000-0005-0000-0000-00001B070000}"/>
    <cellStyle name="T_BC CTMT-2008 Ttinh_Tong hop ra soat von ung 2011 -Chau 2" xfId="1816" xr:uid="{00000000-0005-0000-0000-00001C070000}"/>
    <cellStyle name="T_BC CTMT-2008 Ttinh_Tong hop -Yte-Giao thong-Thuy loi-24-6" xfId="1817" xr:uid="{00000000-0005-0000-0000-00001D070000}"/>
    <cellStyle name="T_BC CTMT-2008 Ttinh_Tong hop -Yte-Giao thong-Thuy loi-24-6 2" xfId="1818" xr:uid="{00000000-0005-0000-0000-00001E070000}"/>
    <cellStyle name="T_Bc_tuan_1_CKy_6_KONTUM" xfId="1819" xr:uid="{00000000-0005-0000-0000-00001F070000}"/>
    <cellStyle name="T_Bc_tuan_1_CKy_6_KONTUM 2" xfId="1820" xr:uid="{00000000-0005-0000-0000-000020070000}"/>
    <cellStyle name="T_Bc_tuan_1_CKy_6_KONTUM_Book1" xfId="1821" xr:uid="{00000000-0005-0000-0000-000021070000}"/>
    <cellStyle name="T_Bc_tuan_1_CKy_6_KONTUM_Book1 2" xfId="1822" xr:uid="{00000000-0005-0000-0000-000022070000}"/>
    <cellStyle name="T_bieu 1" xfId="1823" xr:uid="{00000000-0005-0000-0000-000023070000}"/>
    <cellStyle name="T_bieu 2" xfId="1824" xr:uid="{00000000-0005-0000-0000-000024070000}"/>
    <cellStyle name="T_bieu 4" xfId="1825" xr:uid="{00000000-0005-0000-0000-000025070000}"/>
    <cellStyle name="T_Bieu mau danh muc du an thuoc CTMTQG nam 2008" xfId="1826" xr:uid="{00000000-0005-0000-0000-000026070000}"/>
    <cellStyle name="T_Bieu mau danh muc du an thuoc CTMTQG nam 2008 2" xfId="1827" xr:uid="{00000000-0005-0000-0000-000027070000}"/>
    <cellStyle name="T_Bieu mau danh muc du an thuoc CTMTQG nam 2008_bieu tong hop" xfId="1828" xr:uid="{00000000-0005-0000-0000-000028070000}"/>
    <cellStyle name="T_Bieu mau danh muc du an thuoc CTMTQG nam 2008_bieu tong hop 2" xfId="1829" xr:uid="{00000000-0005-0000-0000-000029070000}"/>
    <cellStyle name="T_Bieu mau danh muc du an thuoc CTMTQG nam 2008_Tong hop ra soat von ung 2011 -Chau" xfId="1830" xr:uid="{00000000-0005-0000-0000-00002A070000}"/>
    <cellStyle name="T_Bieu mau danh muc du an thuoc CTMTQG nam 2008_Tong hop ra soat von ung 2011 -Chau 2" xfId="1831" xr:uid="{00000000-0005-0000-0000-00002B070000}"/>
    <cellStyle name="T_Bieu mau danh muc du an thuoc CTMTQG nam 2008_Tong hop -Yte-Giao thong-Thuy loi-24-6" xfId="1832" xr:uid="{00000000-0005-0000-0000-00002C070000}"/>
    <cellStyle name="T_Bieu mau danh muc du an thuoc CTMTQG nam 2008_Tong hop -Yte-Giao thong-Thuy loi-24-6 2" xfId="1833" xr:uid="{00000000-0005-0000-0000-00002D070000}"/>
    <cellStyle name="T_Bieu tong hop nhu cau ung 2011 da chon loc -Mien nui" xfId="1834" xr:uid="{00000000-0005-0000-0000-00002E070000}"/>
    <cellStyle name="T_Bieu tong hop nhu cau ung 2011 da chon loc -Mien nui 2" xfId="1835" xr:uid="{00000000-0005-0000-0000-00002F070000}"/>
    <cellStyle name="T_Book1" xfId="1836" xr:uid="{00000000-0005-0000-0000-000030070000}"/>
    <cellStyle name="T_Book1 2" xfId="1837" xr:uid="{00000000-0005-0000-0000-000031070000}"/>
    <cellStyle name="T_Book1_1" xfId="1838" xr:uid="{00000000-0005-0000-0000-000032070000}"/>
    <cellStyle name="T_Book1_1 2" xfId="1839" xr:uid="{00000000-0005-0000-0000-000033070000}"/>
    <cellStyle name="T_Book1_1_Bieu mau ung 2011-Mien Trung-TPCP-11-6" xfId="1840" xr:uid="{00000000-0005-0000-0000-000034070000}"/>
    <cellStyle name="T_Book1_1_Bieu mau ung 2011-Mien Trung-TPCP-11-6 2" xfId="1841" xr:uid="{00000000-0005-0000-0000-000035070000}"/>
    <cellStyle name="T_Book1_1_bieu tong hop" xfId="1842" xr:uid="{00000000-0005-0000-0000-000036070000}"/>
    <cellStyle name="T_Book1_1_bieu tong hop 2" xfId="1843" xr:uid="{00000000-0005-0000-0000-000037070000}"/>
    <cellStyle name="T_Book1_1_Bieu tong hop nhu cau ung 2011 da chon loc -Mien nui" xfId="1844" xr:uid="{00000000-0005-0000-0000-000038070000}"/>
    <cellStyle name="T_Book1_1_Bieu tong hop nhu cau ung 2011 da chon loc -Mien nui 2" xfId="1845" xr:uid="{00000000-0005-0000-0000-000039070000}"/>
    <cellStyle name="T_Book1_1_Book1" xfId="1846" xr:uid="{00000000-0005-0000-0000-00003A070000}"/>
    <cellStyle name="T_Book1_1_Book1 2" xfId="1847" xr:uid="{00000000-0005-0000-0000-00003B070000}"/>
    <cellStyle name="T_Book1_1_CPK" xfId="1848" xr:uid="{00000000-0005-0000-0000-00003C070000}"/>
    <cellStyle name="T_Book1_1_CPK 2" xfId="1849" xr:uid="{00000000-0005-0000-0000-00003D070000}"/>
    <cellStyle name="T_Book1_1_KL NT dap nen Dot 3" xfId="1854" xr:uid="{00000000-0005-0000-0000-000042070000}"/>
    <cellStyle name="T_Book1_1_KL NT dap nen Dot 3 2" xfId="1855" xr:uid="{00000000-0005-0000-0000-000043070000}"/>
    <cellStyle name="T_Book1_1_KL NT Dot 3" xfId="1856" xr:uid="{00000000-0005-0000-0000-000044070000}"/>
    <cellStyle name="T_Book1_1_KL NT Dot 3 2" xfId="1857" xr:uid="{00000000-0005-0000-0000-000045070000}"/>
    <cellStyle name="T_Book1_1_Khoi luong cac hang muc chi tiet-702" xfId="1850" xr:uid="{00000000-0005-0000-0000-00003E070000}"/>
    <cellStyle name="T_Book1_1_Khoi luong cac hang muc chi tiet-702 2" xfId="1851" xr:uid="{00000000-0005-0000-0000-00003F070000}"/>
    <cellStyle name="T_Book1_1_khoiluongbdacdoa" xfId="1852" xr:uid="{00000000-0005-0000-0000-000040070000}"/>
    <cellStyle name="T_Book1_1_khoiluongbdacdoa 2" xfId="1853" xr:uid="{00000000-0005-0000-0000-000041070000}"/>
    <cellStyle name="T_Book1_1_mau KL vach son" xfId="1858" xr:uid="{00000000-0005-0000-0000-000046070000}"/>
    <cellStyle name="T_Book1_1_mau KL vach son 2" xfId="1859" xr:uid="{00000000-0005-0000-0000-000047070000}"/>
    <cellStyle name="T_Book1_1_Nhu cau tam ung NSNN&amp;TPCP&amp;ODA theo tieu chi cua Bo (CV410_BKH-TH)_vung Tay Nguyen (11.6.2010)" xfId="1860" xr:uid="{00000000-0005-0000-0000-000048070000}"/>
    <cellStyle name="T_Book1_1_Nhu cau tam ung NSNN&amp;TPCP&amp;ODA theo tieu chi cua Bo (CV410_BKH-TH)_vung Tay Nguyen (11.6.2010) 2" xfId="1861" xr:uid="{00000000-0005-0000-0000-000049070000}"/>
    <cellStyle name="T_Book1_1_Tong hop ra soat von ung 2011 -Chau" xfId="1866" xr:uid="{00000000-0005-0000-0000-00004E070000}"/>
    <cellStyle name="T_Book1_1_Tong hop ra soat von ung 2011 -Chau 2" xfId="1867" xr:uid="{00000000-0005-0000-0000-00004F070000}"/>
    <cellStyle name="T_Book1_1_Tong hop -Yte-Giao thong-Thuy loi-24-6" xfId="1868" xr:uid="{00000000-0005-0000-0000-000050070000}"/>
    <cellStyle name="T_Book1_1_Tong hop -Yte-Giao thong-Thuy loi-24-6 2" xfId="1869" xr:uid="{00000000-0005-0000-0000-000051070000}"/>
    <cellStyle name="T_Book1_1_Thiet bi" xfId="1862" xr:uid="{00000000-0005-0000-0000-00004A070000}"/>
    <cellStyle name="T_Book1_1_Thiet bi 2" xfId="1863" xr:uid="{00000000-0005-0000-0000-00004B070000}"/>
    <cellStyle name="T_Book1_1_Thong ke cong" xfId="1864" xr:uid="{00000000-0005-0000-0000-00004C070000}"/>
    <cellStyle name="T_Book1_1_Thong ke cong 2" xfId="1865" xr:uid="{00000000-0005-0000-0000-00004D070000}"/>
    <cellStyle name="T_Book1_2" xfId="1870" xr:uid="{00000000-0005-0000-0000-000052070000}"/>
    <cellStyle name="T_Book1_2 2" xfId="1871" xr:uid="{00000000-0005-0000-0000-000053070000}"/>
    <cellStyle name="T_Book1_2_DTDuong dong tien -sua tham tra 2009 - luong 650" xfId="1872" xr:uid="{00000000-0005-0000-0000-000054070000}"/>
    <cellStyle name="T_Book1_2_DTDuong dong tien -sua tham tra 2009 - luong 650 2" xfId="1873" xr:uid="{00000000-0005-0000-0000-000055070000}"/>
    <cellStyle name="T_Book1_Bao cao kiem toan kh 2010" xfId="1874" xr:uid="{00000000-0005-0000-0000-000056070000}"/>
    <cellStyle name="T_Book1_Bao cao kiem toan kh 2010 2" xfId="1875" xr:uid="{00000000-0005-0000-0000-000057070000}"/>
    <cellStyle name="T_Book1_Bieu mau danh muc du an thuoc CTMTQG nam 2008" xfId="1876" xr:uid="{00000000-0005-0000-0000-000058070000}"/>
    <cellStyle name="T_Book1_Bieu mau danh muc du an thuoc CTMTQG nam 2008 2" xfId="1877" xr:uid="{00000000-0005-0000-0000-000059070000}"/>
    <cellStyle name="T_Book1_Bieu mau danh muc du an thuoc CTMTQG nam 2008_bieu tong hop" xfId="1878" xr:uid="{00000000-0005-0000-0000-00005A070000}"/>
    <cellStyle name="T_Book1_Bieu mau danh muc du an thuoc CTMTQG nam 2008_bieu tong hop 2" xfId="1879" xr:uid="{00000000-0005-0000-0000-00005B070000}"/>
    <cellStyle name="T_Book1_Bieu mau danh muc du an thuoc CTMTQG nam 2008_Tong hop ra soat von ung 2011 -Chau" xfId="1880" xr:uid="{00000000-0005-0000-0000-00005C070000}"/>
    <cellStyle name="T_Book1_Bieu mau danh muc du an thuoc CTMTQG nam 2008_Tong hop ra soat von ung 2011 -Chau 2" xfId="1881" xr:uid="{00000000-0005-0000-0000-00005D070000}"/>
    <cellStyle name="T_Book1_Bieu mau danh muc du an thuoc CTMTQG nam 2008_Tong hop -Yte-Giao thong-Thuy loi-24-6" xfId="1882" xr:uid="{00000000-0005-0000-0000-00005E070000}"/>
    <cellStyle name="T_Book1_Bieu mau danh muc du an thuoc CTMTQG nam 2008_Tong hop -Yte-Giao thong-Thuy loi-24-6 2" xfId="1883" xr:uid="{00000000-0005-0000-0000-00005F070000}"/>
    <cellStyle name="T_Book1_Bieu tong hop nhu cau ung 2011 da chon loc -Mien nui" xfId="1884" xr:uid="{00000000-0005-0000-0000-000060070000}"/>
    <cellStyle name="T_Book1_Bieu tong hop nhu cau ung 2011 da chon loc -Mien nui 2" xfId="1885" xr:uid="{00000000-0005-0000-0000-000061070000}"/>
    <cellStyle name="T_Book1_Book1" xfId="1886" xr:uid="{00000000-0005-0000-0000-000062070000}"/>
    <cellStyle name="T_Book1_Book1 2" xfId="1887" xr:uid="{00000000-0005-0000-0000-000063070000}"/>
    <cellStyle name="T_Book1_Book1_1" xfId="1888" xr:uid="{00000000-0005-0000-0000-000064070000}"/>
    <cellStyle name="T_Book1_Book1_1 2" xfId="1889" xr:uid="{00000000-0005-0000-0000-000065070000}"/>
    <cellStyle name="T_Book1_CPK" xfId="1890" xr:uid="{00000000-0005-0000-0000-000066070000}"/>
    <cellStyle name="T_Book1_CPK 2" xfId="1891" xr:uid="{00000000-0005-0000-0000-000067070000}"/>
    <cellStyle name="T_Book1_DT492" xfId="1892" xr:uid="{00000000-0005-0000-0000-000068070000}"/>
    <cellStyle name="T_Book1_DT492 2" xfId="1893" xr:uid="{00000000-0005-0000-0000-000069070000}"/>
    <cellStyle name="T_Book1_DT972000" xfId="1894" xr:uid="{00000000-0005-0000-0000-00006A070000}"/>
    <cellStyle name="T_Book1_DT972000 2" xfId="1895" xr:uid="{00000000-0005-0000-0000-00006B070000}"/>
    <cellStyle name="T_Book1_DTDuong dong tien -sua tham tra 2009 - luong 650" xfId="1896" xr:uid="{00000000-0005-0000-0000-00006C070000}"/>
    <cellStyle name="T_Book1_DTDuong dong tien -sua tham tra 2009 - luong 650 2" xfId="1897" xr:uid="{00000000-0005-0000-0000-00006D070000}"/>
    <cellStyle name="T_Book1_Du an khoi cong moi nam 2010" xfId="1898" xr:uid="{00000000-0005-0000-0000-00006E070000}"/>
    <cellStyle name="T_Book1_Du an khoi cong moi nam 2010 2" xfId="1899" xr:uid="{00000000-0005-0000-0000-00006F070000}"/>
    <cellStyle name="T_Book1_Du an khoi cong moi nam 2010_bieu tong hop" xfId="1900" xr:uid="{00000000-0005-0000-0000-000070070000}"/>
    <cellStyle name="T_Book1_Du an khoi cong moi nam 2010_bieu tong hop 2" xfId="1901" xr:uid="{00000000-0005-0000-0000-000071070000}"/>
    <cellStyle name="T_Book1_Du an khoi cong moi nam 2010_Tong hop ra soat von ung 2011 -Chau" xfId="1902" xr:uid="{00000000-0005-0000-0000-000072070000}"/>
    <cellStyle name="T_Book1_Du an khoi cong moi nam 2010_Tong hop ra soat von ung 2011 -Chau 2" xfId="1903" xr:uid="{00000000-0005-0000-0000-000073070000}"/>
    <cellStyle name="T_Book1_Du an khoi cong moi nam 2010_Tong hop -Yte-Giao thong-Thuy loi-24-6" xfId="1904" xr:uid="{00000000-0005-0000-0000-000074070000}"/>
    <cellStyle name="T_Book1_Du an khoi cong moi nam 2010_Tong hop -Yte-Giao thong-Thuy loi-24-6 2" xfId="1905" xr:uid="{00000000-0005-0000-0000-000075070000}"/>
    <cellStyle name="T_Book1_Du toan khao sat (bo sung 2009)" xfId="1906" xr:uid="{00000000-0005-0000-0000-000076070000}"/>
    <cellStyle name="T_Book1_Du toan khao sat (bo sung 2009) 2" xfId="1907" xr:uid="{00000000-0005-0000-0000-000077070000}"/>
    <cellStyle name="T_Book1_Hang Tom goi9 9-07(Cau 12 sua)" xfId="1908" xr:uid="{00000000-0005-0000-0000-000078070000}"/>
    <cellStyle name="T_Book1_HECO-NR78-Gui a-Vinh(15-5-07)" xfId="1909" xr:uid="{00000000-0005-0000-0000-000079070000}"/>
    <cellStyle name="T_Book1_HECO-NR78-Gui a-Vinh(15-5-07) 2" xfId="1910" xr:uid="{00000000-0005-0000-0000-00007A070000}"/>
    <cellStyle name="T_Book1_Ke hoach 2010 (theo doi)2" xfId="1911" xr:uid="{00000000-0005-0000-0000-00007B070000}"/>
    <cellStyle name="T_Book1_Ke hoach 2010 (theo doi)2 2" xfId="1912" xr:uid="{00000000-0005-0000-0000-00007C070000}"/>
    <cellStyle name="T_Book1_Ket qua phan bo von nam 2008" xfId="1913" xr:uid="{00000000-0005-0000-0000-00007D070000}"/>
    <cellStyle name="T_Book1_Ket qua phan bo von nam 2008 2" xfId="1914" xr:uid="{00000000-0005-0000-0000-00007E070000}"/>
    <cellStyle name="T_Book1_KL NT dap nen Dot 3" xfId="1922" xr:uid="{00000000-0005-0000-0000-000086070000}"/>
    <cellStyle name="T_Book1_KL NT dap nen Dot 3 2" xfId="1923" xr:uid="{00000000-0005-0000-0000-000087070000}"/>
    <cellStyle name="T_Book1_KL NT Dot 3" xfId="1924" xr:uid="{00000000-0005-0000-0000-000088070000}"/>
    <cellStyle name="T_Book1_KL NT Dot 3 2" xfId="1925" xr:uid="{00000000-0005-0000-0000-000089070000}"/>
    <cellStyle name="T_Book1_KH XDCB_2008 lan 2 sua ngay 10-11" xfId="1915" xr:uid="{00000000-0005-0000-0000-00007F070000}"/>
    <cellStyle name="T_Book1_KH XDCB_2008 lan 2 sua ngay 10-11 2" xfId="1916" xr:uid="{00000000-0005-0000-0000-000080070000}"/>
    <cellStyle name="T_Book1_Khoi luong cac hang muc chi tiet-702" xfId="1917" xr:uid="{00000000-0005-0000-0000-000081070000}"/>
    <cellStyle name="T_Book1_Khoi luong cac hang muc chi tiet-702 2" xfId="1918" xr:uid="{00000000-0005-0000-0000-000082070000}"/>
    <cellStyle name="T_Book1_Khoi luong chinh Hang Tom" xfId="1919" xr:uid="{00000000-0005-0000-0000-000083070000}"/>
    <cellStyle name="T_Book1_khoiluongbdacdoa" xfId="1920" xr:uid="{00000000-0005-0000-0000-000084070000}"/>
    <cellStyle name="T_Book1_khoiluongbdacdoa 2" xfId="1921" xr:uid="{00000000-0005-0000-0000-000085070000}"/>
    <cellStyle name="T_Book1_mau bieu doan giam sat 2010 (version 2)" xfId="1926" xr:uid="{00000000-0005-0000-0000-00008A070000}"/>
    <cellStyle name="T_Book1_mau bieu doan giam sat 2010 (version 2) 2" xfId="1927" xr:uid="{00000000-0005-0000-0000-00008B070000}"/>
    <cellStyle name="T_Book1_mau KL vach son" xfId="1928" xr:uid="{00000000-0005-0000-0000-00008C070000}"/>
    <cellStyle name="T_Book1_mau KL vach son 2" xfId="1929" xr:uid="{00000000-0005-0000-0000-00008D070000}"/>
    <cellStyle name="T_Book1_Nhu cau von ung truoc 2011 Tha h Hoa + Nge An gui TW" xfId="1930" xr:uid="{00000000-0005-0000-0000-00008E070000}"/>
    <cellStyle name="T_Book1_Nhu cau von ung truoc 2011 Tha h Hoa + Nge An gui TW 2" xfId="1931" xr:uid="{00000000-0005-0000-0000-00008F070000}"/>
    <cellStyle name="T_Book1_QD UBND tinh" xfId="1932" xr:uid="{00000000-0005-0000-0000-000090070000}"/>
    <cellStyle name="T_Book1_QD UBND tinh 2" xfId="1933" xr:uid="{00000000-0005-0000-0000-000091070000}"/>
    <cellStyle name="T_Book1_San sat hach moi" xfId="1934" xr:uid="{00000000-0005-0000-0000-000092070000}"/>
    <cellStyle name="T_Book1_San sat hach moi 2" xfId="1935" xr:uid="{00000000-0005-0000-0000-000093070000}"/>
    <cellStyle name="T_Book1_Tong hop 3 tinh (11_5)-TTH-QN-QT" xfId="1940" xr:uid="{00000000-0005-0000-0000-000098070000}"/>
    <cellStyle name="T_Book1_Tong hop 3 tinh (11_5)-TTH-QN-QT 2" xfId="1941" xr:uid="{00000000-0005-0000-0000-000099070000}"/>
    <cellStyle name="T_Book1_Thiet bi" xfId="1936" xr:uid="{00000000-0005-0000-0000-000094070000}"/>
    <cellStyle name="T_Book1_Thiet bi 2" xfId="1937" xr:uid="{00000000-0005-0000-0000-000095070000}"/>
    <cellStyle name="T_Book1_Thong ke cong" xfId="1938" xr:uid="{00000000-0005-0000-0000-000096070000}"/>
    <cellStyle name="T_Book1_Thong ke cong 2" xfId="1939" xr:uid="{00000000-0005-0000-0000-000097070000}"/>
    <cellStyle name="T_Book1_ung 2011 - 11-6-Thanh hoa-Nghe an" xfId="1942" xr:uid="{00000000-0005-0000-0000-00009A070000}"/>
    <cellStyle name="T_Book1_ung 2011 - 11-6-Thanh hoa-Nghe an 2" xfId="1943" xr:uid="{00000000-0005-0000-0000-00009B070000}"/>
    <cellStyle name="T_Book1_ung truoc 2011 NSTW Thanh Hoa + Nge An gui Thu 12-5" xfId="1944" xr:uid="{00000000-0005-0000-0000-00009C070000}"/>
    <cellStyle name="T_Book1_ung truoc 2011 NSTW Thanh Hoa + Nge An gui Thu 12-5 2" xfId="1945" xr:uid="{00000000-0005-0000-0000-00009D070000}"/>
    <cellStyle name="T_Book1_VBPL kiểm toán Đầu tư XDCB 2010" xfId="1946" xr:uid="{00000000-0005-0000-0000-00009E070000}"/>
    <cellStyle name="T_Book1_VBPL kiểm toán Đầu tư XDCB 2010 2" xfId="1947" xr:uid="{00000000-0005-0000-0000-00009F070000}"/>
    <cellStyle name="T_Book1_Worksheet in D: My Documents Luc Van ban xu ly Nam 2011 Bao cao ra soat tam ung TPCP" xfId="1948" xr:uid="{00000000-0005-0000-0000-0000A0070000}"/>
    <cellStyle name="T_Book1_Worksheet in D: My Documents Luc Van ban xu ly Nam 2011 Bao cao ra soat tam ung TPCP 2" xfId="1949" xr:uid="{00000000-0005-0000-0000-0000A1070000}"/>
    <cellStyle name="T_CDKT" xfId="1950" xr:uid="{00000000-0005-0000-0000-0000A2070000}"/>
    <cellStyle name="T_CDKT 2" xfId="1951" xr:uid="{00000000-0005-0000-0000-0000A3070000}"/>
    <cellStyle name="T_Copy of Bao cao  XDCB 7 thang nam 2008_So KH&amp;DT SUA" xfId="1960" xr:uid="{00000000-0005-0000-0000-0000AC070000}"/>
    <cellStyle name="T_Copy of Bao cao  XDCB 7 thang nam 2008_So KH&amp;DT SUA 2" xfId="1961" xr:uid="{00000000-0005-0000-0000-0000AD070000}"/>
    <cellStyle name="T_Copy of Bao cao  XDCB 7 thang nam 2008_So KH&amp;DT SUA_bieu tong hop" xfId="1962" xr:uid="{00000000-0005-0000-0000-0000AE070000}"/>
    <cellStyle name="T_Copy of Bao cao  XDCB 7 thang nam 2008_So KH&amp;DT SUA_bieu tong hop 2" xfId="1963" xr:uid="{00000000-0005-0000-0000-0000AF070000}"/>
    <cellStyle name="T_Copy of Bao cao  XDCB 7 thang nam 2008_So KH&amp;DT SUA_Tong hop ra soat von ung 2011 -Chau" xfId="1964" xr:uid="{00000000-0005-0000-0000-0000B0070000}"/>
    <cellStyle name="T_Copy of Bao cao  XDCB 7 thang nam 2008_So KH&amp;DT SUA_Tong hop ra soat von ung 2011 -Chau 2" xfId="1965" xr:uid="{00000000-0005-0000-0000-0000B1070000}"/>
    <cellStyle name="T_Copy of Bao cao  XDCB 7 thang nam 2008_So KH&amp;DT SUA_Tong hop -Yte-Giao thong-Thuy loi-24-6" xfId="1966" xr:uid="{00000000-0005-0000-0000-0000B2070000}"/>
    <cellStyle name="T_Copy of Bao cao  XDCB 7 thang nam 2008_So KH&amp;DT SUA_Tong hop -Yte-Giao thong-Thuy loi-24-6 2" xfId="1967" xr:uid="{00000000-0005-0000-0000-0000B3070000}"/>
    <cellStyle name="T_Copy of KS Du an dau tu" xfId="1968" xr:uid="{00000000-0005-0000-0000-0000B4070000}"/>
    <cellStyle name="T_Copy of KS Du an dau tu 2" xfId="1969" xr:uid="{00000000-0005-0000-0000-0000B5070000}"/>
    <cellStyle name="T_Cost for DD (summary)" xfId="1970" xr:uid="{00000000-0005-0000-0000-0000B6070000}"/>
    <cellStyle name="T_Cost for DD (summary) 2" xfId="1971" xr:uid="{00000000-0005-0000-0000-0000B7070000}"/>
    <cellStyle name="T_CPK" xfId="1972" xr:uid="{00000000-0005-0000-0000-0000B8070000}"/>
    <cellStyle name="T_CPK 2" xfId="1973" xr:uid="{00000000-0005-0000-0000-0000B9070000}"/>
    <cellStyle name="T_CTMTQG 2008" xfId="1974" xr:uid="{00000000-0005-0000-0000-0000BA070000}"/>
    <cellStyle name="T_CTMTQG 2008 2" xfId="1975" xr:uid="{00000000-0005-0000-0000-0000BB070000}"/>
    <cellStyle name="T_CTMTQG 2008_Bieu mau danh muc du an thuoc CTMTQG nam 2008" xfId="1976" xr:uid="{00000000-0005-0000-0000-0000BC070000}"/>
    <cellStyle name="T_CTMTQG 2008_Bieu mau danh muc du an thuoc CTMTQG nam 2008 2" xfId="1977" xr:uid="{00000000-0005-0000-0000-0000BD070000}"/>
    <cellStyle name="T_CTMTQG 2008_Hi-Tong hop KQ phan bo KH nam 08- LD fong giao 15-11-08" xfId="1978" xr:uid="{00000000-0005-0000-0000-0000BE070000}"/>
    <cellStyle name="T_CTMTQG 2008_Hi-Tong hop KQ phan bo KH nam 08- LD fong giao 15-11-08 2" xfId="1979" xr:uid="{00000000-0005-0000-0000-0000BF070000}"/>
    <cellStyle name="T_CTMTQG 2008_Ket qua thuc hien nam 2008" xfId="1980" xr:uid="{00000000-0005-0000-0000-0000C0070000}"/>
    <cellStyle name="T_CTMTQG 2008_Ket qua thuc hien nam 2008 2" xfId="1981" xr:uid="{00000000-0005-0000-0000-0000C1070000}"/>
    <cellStyle name="T_CTMTQG 2008_KH XDCB_2008 lan 1" xfId="1982" xr:uid="{00000000-0005-0000-0000-0000C2070000}"/>
    <cellStyle name="T_CTMTQG 2008_KH XDCB_2008 lan 1 2" xfId="1983" xr:uid="{00000000-0005-0000-0000-0000C3070000}"/>
    <cellStyle name="T_CTMTQG 2008_KH XDCB_2008 lan 1 sua ngay 27-10" xfId="1984" xr:uid="{00000000-0005-0000-0000-0000C4070000}"/>
    <cellStyle name="T_CTMTQG 2008_KH XDCB_2008 lan 1 sua ngay 27-10 2" xfId="1985" xr:uid="{00000000-0005-0000-0000-0000C5070000}"/>
    <cellStyle name="T_CTMTQG 2008_KH XDCB_2008 lan 2 sua ngay 10-11" xfId="1986" xr:uid="{00000000-0005-0000-0000-0000C6070000}"/>
    <cellStyle name="T_CTMTQG 2008_KH XDCB_2008 lan 2 sua ngay 10-11 2" xfId="1987" xr:uid="{00000000-0005-0000-0000-0000C7070000}"/>
    <cellStyle name="T_Chuan bi dau tu nam 2008" xfId="1952" xr:uid="{00000000-0005-0000-0000-0000A4070000}"/>
    <cellStyle name="T_Chuan bi dau tu nam 2008 2" xfId="1953" xr:uid="{00000000-0005-0000-0000-0000A5070000}"/>
    <cellStyle name="T_Chuan bi dau tu nam 2008_bieu tong hop" xfId="1954" xr:uid="{00000000-0005-0000-0000-0000A6070000}"/>
    <cellStyle name="T_Chuan bi dau tu nam 2008_bieu tong hop 2" xfId="1955" xr:uid="{00000000-0005-0000-0000-0000A7070000}"/>
    <cellStyle name="T_Chuan bi dau tu nam 2008_Tong hop ra soat von ung 2011 -Chau" xfId="1956" xr:uid="{00000000-0005-0000-0000-0000A8070000}"/>
    <cellStyle name="T_Chuan bi dau tu nam 2008_Tong hop ra soat von ung 2011 -Chau 2" xfId="1957" xr:uid="{00000000-0005-0000-0000-0000A9070000}"/>
    <cellStyle name="T_Chuan bi dau tu nam 2008_Tong hop -Yte-Giao thong-Thuy loi-24-6" xfId="1958" xr:uid="{00000000-0005-0000-0000-0000AA070000}"/>
    <cellStyle name="T_Chuan bi dau tu nam 2008_Tong hop -Yte-Giao thong-Thuy loi-24-6 2" xfId="1959" xr:uid="{00000000-0005-0000-0000-0000AB070000}"/>
    <cellStyle name="T_DT972000" xfId="1988" xr:uid="{00000000-0005-0000-0000-0000C8070000}"/>
    <cellStyle name="T_DTDuong dong tien -sua tham tra 2009 - luong 650" xfId="1989" xr:uid="{00000000-0005-0000-0000-0000C9070000}"/>
    <cellStyle name="T_DTDuong dong tien -sua tham tra 2009 - luong 650 2" xfId="1990" xr:uid="{00000000-0005-0000-0000-0000CA070000}"/>
    <cellStyle name="T_dtTL598G1." xfId="1991" xr:uid="{00000000-0005-0000-0000-0000CB070000}"/>
    <cellStyle name="T_dtTL598G1. 2" xfId="1992" xr:uid="{00000000-0005-0000-0000-0000CC070000}"/>
    <cellStyle name="T_Du an khoi cong moi nam 2010" xfId="1993" xr:uid="{00000000-0005-0000-0000-0000CD070000}"/>
    <cellStyle name="T_Du an khoi cong moi nam 2010 2" xfId="1994" xr:uid="{00000000-0005-0000-0000-0000CE070000}"/>
    <cellStyle name="T_Du an khoi cong moi nam 2010_bieu tong hop" xfId="1995" xr:uid="{00000000-0005-0000-0000-0000CF070000}"/>
    <cellStyle name="T_Du an khoi cong moi nam 2010_bieu tong hop 2" xfId="1996" xr:uid="{00000000-0005-0000-0000-0000D0070000}"/>
    <cellStyle name="T_Du an khoi cong moi nam 2010_Tong hop ra soat von ung 2011 -Chau" xfId="1997" xr:uid="{00000000-0005-0000-0000-0000D1070000}"/>
    <cellStyle name="T_Du an khoi cong moi nam 2010_Tong hop ra soat von ung 2011 -Chau 2" xfId="1998" xr:uid="{00000000-0005-0000-0000-0000D2070000}"/>
    <cellStyle name="T_Du an khoi cong moi nam 2010_Tong hop -Yte-Giao thong-Thuy loi-24-6" xfId="1999" xr:uid="{00000000-0005-0000-0000-0000D3070000}"/>
    <cellStyle name="T_Du an khoi cong moi nam 2010_Tong hop -Yte-Giao thong-Thuy loi-24-6 2" xfId="2000" xr:uid="{00000000-0005-0000-0000-0000D4070000}"/>
    <cellStyle name="T_DU AN TKQH VA CHUAN BI DAU TU NAM 2007 sua ngay 9-11" xfId="2001" xr:uid="{00000000-0005-0000-0000-0000D5070000}"/>
    <cellStyle name="T_DU AN TKQH VA CHUAN BI DAU TU NAM 2007 sua ngay 9-11 2" xfId="2002" xr:uid="{00000000-0005-0000-0000-0000D6070000}"/>
    <cellStyle name="T_DU AN TKQH VA CHUAN BI DAU TU NAM 2007 sua ngay 9-11_Bieu mau danh muc du an thuoc CTMTQG nam 2008" xfId="2003" xr:uid="{00000000-0005-0000-0000-0000D7070000}"/>
    <cellStyle name="T_DU AN TKQH VA CHUAN BI DAU TU NAM 2007 sua ngay 9-11_Bieu mau danh muc du an thuoc CTMTQG nam 2008 2" xfId="2004" xr:uid="{00000000-0005-0000-0000-0000D8070000}"/>
    <cellStyle name="T_DU AN TKQH VA CHUAN BI DAU TU NAM 2007 sua ngay 9-11_Bieu mau danh muc du an thuoc CTMTQG nam 2008_bieu tong hop" xfId="2005" xr:uid="{00000000-0005-0000-0000-0000D9070000}"/>
    <cellStyle name="T_DU AN TKQH VA CHUAN BI DAU TU NAM 2007 sua ngay 9-11_Bieu mau danh muc du an thuoc CTMTQG nam 2008_bieu tong hop 2" xfId="2006" xr:uid="{00000000-0005-0000-0000-0000DA070000}"/>
    <cellStyle name="T_DU AN TKQH VA CHUAN BI DAU TU NAM 2007 sua ngay 9-11_Bieu mau danh muc du an thuoc CTMTQG nam 2008_Tong hop ra soat von ung 2011 -Chau" xfId="2007" xr:uid="{00000000-0005-0000-0000-0000DB070000}"/>
    <cellStyle name="T_DU AN TKQH VA CHUAN BI DAU TU NAM 2007 sua ngay 9-11_Bieu mau danh muc du an thuoc CTMTQG nam 2008_Tong hop ra soat von ung 2011 -Chau 2" xfId="2008" xr:uid="{00000000-0005-0000-0000-0000DC070000}"/>
    <cellStyle name="T_DU AN TKQH VA CHUAN BI DAU TU NAM 2007 sua ngay 9-11_Bieu mau danh muc du an thuoc CTMTQG nam 2008_Tong hop -Yte-Giao thong-Thuy loi-24-6" xfId="2009" xr:uid="{00000000-0005-0000-0000-0000DD070000}"/>
    <cellStyle name="T_DU AN TKQH VA CHUAN BI DAU TU NAM 2007 sua ngay 9-11_Bieu mau danh muc du an thuoc CTMTQG nam 2008_Tong hop -Yte-Giao thong-Thuy loi-24-6 2" xfId="2010" xr:uid="{00000000-0005-0000-0000-0000DE070000}"/>
    <cellStyle name="T_DU AN TKQH VA CHUAN BI DAU TU NAM 2007 sua ngay 9-11_Du an khoi cong moi nam 2010" xfId="2011" xr:uid="{00000000-0005-0000-0000-0000DF070000}"/>
    <cellStyle name="T_DU AN TKQH VA CHUAN BI DAU TU NAM 2007 sua ngay 9-11_Du an khoi cong moi nam 2010 2" xfId="2012" xr:uid="{00000000-0005-0000-0000-0000E0070000}"/>
    <cellStyle name="T_DU AN TKQH VA CHUAN BI DAU TU NAM 2007 sua ngay 9-11_Du an khoi cong moi nam 2010_bieu tong hop" xfId="2013" xr:uid="{00000000-0005-0000-0000-0000E1070000}"/>
    <cellStyle name="T_DU AN TKQH VA CHUAN BI DAU TU NAM 2007 sua ngay 9-11_Du an khoi cong moi nam 2010_bieu tong hop 2" xfId="2014" xr:uid="{00000000-0005-0000-0000-0000E2070000}"/>
    <cellStyle name="T_DU AN TKQH VA CHUAN BI DAU TU NAM 2007 sua ngay 9-11_Du an khoi cong moi nam 2010_Tong hop ra soat von ung 2011 -Chau" xfId="2015" xr:uid="{00000000-0005-0000-0000-0000E3070000}"/>
    <cellStyle name="T_DU AN TKQH VA CHUAN BI DAU TU NAM 2007 sua ngay 9-11_Du an khoi cong moi nam 2010_Tong hop ra soat von ung 2011 -Chau 2" xfId="2016" xr:uid="{00000000-0005-0000-0000-0000E4070000}"/>
    <cellStyle name="T_DU AN TKQH VA CHUAN BI DAU TU NAM 2007 sua ngay 9-11_Du an khoi cong moi nam 2010_Tong hop -Yte-Giao thong-Thuy loi-24-6" xfId="2017" xr:uid="{00000000-0005-0000-0000-0000E5070000}"/>
    <cellStyle name="T_DU AN TKQH VA CHUAN BI DAU TU NAM 2007 sua ngay 9-11_Du an khoi cong moi nam 2010_Tong hop -Yte-Giao thong-Thuy loi-24-6 2" xfId="2018" xr:uid="{00000000-0005-0000-0000-0000E6070000}"/>
    <cellStyle name="T_DU AN TKQH VA CHUAN BI DAU TU NAM 2007 sua ngay 9-11_Ket qua phan bo von nam 2008" xfId="2019" xr:uid="{00000000-0005-0000-0000-0000E7070000}"/>
    <cellStyle name="T_DU AN TKQH VA CHUAN BI DAU TU NAM 2007 sua ngay 9-11_Ket qua phan bo von nam 2008 2" xfId="2020" xr:uid="{00000000-0005-0000-0000-0000E8070000}"/>
    <cellStyle name="T_DU AN TKQH VA CHUAN BI DAU TU NAM 2007 sua ngay 9-11_KH XDCB_2008 lan 2 sua ngay 10-11" xfId="2021" xr:uid="{00000000-0005-0000-0000-0000E9070000}"/>
    <cellStyle name="T_DU AN TKQH VA CHUAN BI DAU TU NAM 2007 sua ngay 9-11_KH XDCB_2008 lan 2 sua ngay 10-11 2" xfId="2022" xr:uid="{00000000-0005-0000-0000-0000EA070000}"/>
    <cellStyle name="T_du toan dieu chinh  20-8-2006" xfId="2023" xr:uid="{00000000-0005-0000-0000-0000EB070000}"/>
    <cellStyle name="T_du toan dieu chinh  20-8-2006 2" xfId="2024" xr:uid="{00000000-0005-0000-0000-0000EC070000}"/>
    <cellStyle name="T_Du toan khao sat (bo sung 2009)" xfId="2025" xr:uid="{00000000-0005-0000-0000-0000ED070000}"/>
    <cellStyle name="T_Du toan khao sat (bo sung 2009) 2" xfId="2026" xr:uid="{00000000-0005-0000-0000-0000EE070000}"/>
    <cellStyle name="T_du toan lan 3" xfId="2027" xr:uid="{00000000-0005-0000-0000-0000EF070000}"/>
    <cellStyle name="T_du toan lan 3 2" xfId="2028" xr:uid="{00000000-0005-0000-0000-0000F0070000}"/>
    <cellStyle name="T_Ke hoach KTXH  nam 2009_PKT thang 11 nam 2008" xfId="2029" xr:uid="{00000000-0005-0000-0000-0000F1070000}"/>
    <cellStyle name="T_Ke hoach KTXH  nam 2009_PKT thang 11 nam 2008 2" xfId="2030" xr:uid="{00000000-0005-0000-0000-0000F2070000}"/>
    <cellStyle name="T_Ke hoach KTXH  nam 2009_PKT thang 11 nam 2008_bieu tong hop" xfId="2031" xr:uid="{00000000-0005-0000-0000-0000F3070000}"/>
    <cellStyle name="T_Ke hoach KTXH  nam 2009_PKT thang 11 nam 2008_bieu tong hop 2" xfId="2032" xr:uid="{00000000-0005-0000-0000-0000F4070000}"/>
    <cellStyle name="T_Ke hoach KTXH  nam 2009_PKT thang 11 nam 2008_Tong hop ra soat von ung 2011 -Chau" xfId="2033" xr:uid="{00000000-0005-0000-0000-0000F5070000}"/>
    <cellStyle name="T_Ke hoach KTXH  nam 2009_PKT thang 11 nam 2008_Tong hop ra soat von ung 2011 -Chau 2" xfId="2034" xr:uid="{00000000-0005-0000-0000-0000F6070000}"/>
    <cellStyle name="T_Ke hoach KTXH  nam 2009_PKT thang 11 nam 2008_Tong hop -Yte-Giao thong-Thuy loi-24-6" xfId="2035" xr:uid="{00000000-0005-0000-0000-0000F7070000}"/>
    <cellStyle name="T_Ke hoach KTXH  nam 2009_PKT thang 11 nam 2008_Tong hop -Yte-Giao thong-Thuy loi-24-6 2" xfId="2036" xr:uid="{00000000-0005-0000-0000-0000F8070000}"/>
    <cellStyle name="T_Ket qua dau thau" xfId="2037" xr:uid="{00000000-0005-0000-0000-0000F9070000}"/>
    <cellStyle name="T_Ket qua dau thau 2" xfId="2038" xr:uid="{00000000-0005-0000-0000-0000FA070000}"/>
    <cellStyle name="T_Ket qua dau thau_bieu tong hop" xfId="2039" xr:uid="{00000000-0005-0000-0000-0000FB070000}"/>
    <cellStyle name="T_Ket qua dau thau_bieu tong hop 2" xfId="2040" xr:uid="{00000000-0005-0000-0000-0000FC070000}"/>
    <cellStyle name="T_Ket qua dau thau_Tong hop ra soat von ung 2011 -Chau" xfId="2041" xr:uid="{00000000-0005-0000-0000-0000FD070000}"/>
    <cellStyle name="T_Ket qua dau thau_Tong hop ra soat von ung 2011 -Chau 2" xfId="2042" xr:uid="{00000000-0005-0000-0000-0000FE070000}"/>
    <cellStyle name="T_Ket qua dau thau_Tong hop -Yte-Giao thong-Thuy loi-24-6" xfId="2043" xr:uid="{00000000-0005-0000-0000-0000FF070000}"/>
    <cellStyle name="T_Ket qua dau thau_Tong hop -Yte-Giao thong-Thuy loi-24-6 2" xfId="2044" xr:uid="{00000000-0005-0000-0000-000000080000}"/>
    <cellStyle name="T_Ket qua phan bo von nam 2008" xfId="2045" xr:uid="{00000000-0005-0000-0000-000001080000}"/>
    <cellStyle name="T_Ket qua phan bo von nam 2008 2" xfId="2046" xr:uid="{00000000-0005-0000-0000-000002080000}"/>
    <cellStyle name="T_KL NT dap nen Dot 3" xfId="2053" xr:uid="{00000000-0005-0000-0000-000009080000}"/>
    <cellStyle name="T_KL NT Dot 3" xfId="2054" xr:uid="{00000000-0005-0000-0000-00000A080000}"/>
    <cellStyle name="T_Kl VL ranh" xfId="2055" xr:uid="{00000000-0005-0000-0000-00000B080000}"/>
    <cellStyle name="T_Kl VL ranh 2" xfId="2056" xr:uid="{00000000-0005-0000-0000-00000C080000}"/>
    <cellStyle name="T_KLNMD1" xfId="2057" xr:uid="{00000000-0005-0000-0000-00000D080000}"/>
    <cellStyle name="T_KLNMD1 2" xfId="2058" xr:uid="{00000000-0005-0000-0000-00000E080000}"/>
    <cellStyle name="T_KH XDCB_2008 lan 2 sua ngay 10-11" xfId="2047" xr:uid="{00000000-0005-0000-0000-000003080000}"/>
    <cellStyle name="T_KH XDCB_2008 lan 2 sua ngay 10-11 2" xfId="2048" xr:uid="{00000000-0005-0000-0000-000004080000}"/>
    <cellStyle name="T_Khao satD1" xfId="2049" xr:uid="{00000000-0005-0000-0000-000005080000}"/>
    <cellStyle name="T_Khao satD1 2" xfId="2050" xr:uid="{00000000-0005-0000-0000-000006080000}"/>
    <cellStyle name="T_Khoi luong cac hang muc chi tiet-702" xfId="2051" xr:uid="{00000000-0005-0000-0000-000007080000}"/>
    <cellStyle name="T_Khoi luong cac hang muc chi tiet-702 2" xfId="2052" xr:uid="{00000000-0005-0000-0000-000008080000}"/>
    <cellStyle name="T_mau bieu doan giam sat 2010 (version 2)" xfId="2059" xr:uid="{00000000-0005-0000-0000-00000F080000}"/>
    <cellStyle name="T_mau bieu doan giam sat 2010 (version 2) 2" xfId="2060" xr:uid="{00000000-0005-0000-0000-000010080000}"/>
    <cellStyle name="T_mau KL vach son" xfId="2061" xr:uid="{00000000-0005-0000-0000-000011080000}"/>
    <cellStyle name="T_mau KL vach son 2" xfId="2062" xr:uid="{00000000-0005-0000-0000-000012080000}"/>
    <cellStyle name="T_Me_Tri_6_07" xfId="2063" xr:uid="{00000000-0005-0000-0000-000013080000}"/>
    <cellStyle name="T_Me_Tri_6_07 2" xfId="2064" xr:uid="{00000000-0005-0000-0000-000014080000}"/>
    <cellStyle name="T_N2 thay dat (N1-1)" xfId="2065" xr:uid="{00000000-0005-0000-0000-000015080000}"/>
    <cellStyle name="T_N2 thay dat (N1-1) 2" xfId="2066" xr:uid="{00000000-0005-0000-0000-000016080000}"/>
    <cellStyle name="T_Phuong an can doi nam 2008" xfId="2067" xr:uid="{00000000-0005-0000-0000-000017080000}"/>
    <cellStyle name="T_Phuong an can doi nam 2008 2" xfId="2068" xr:uid="{00000000-0005-0000-0000-000018080000}"/>
    <cellStyle name="T_Phuong an can doi nam 2008_bieu tong hop" xfId="2069" xr:uid="{00000000-0005-0000-0000-000019080000}"/>
    <cellStyle name="T_Phuong an can doi nam 2008_bieu tong hop 2" xfId="2070" xr:uid="{00000000-0005-0000-0000-00001A080000}"/>
    <cellStyle name="T_Phuong an can doi nam 2008_Tong hop ra soat von ung 2011 -Chau" xfId="2071" xr:uid="{00000000-0005-0000-0000-00001B080000}"/>
    <cellStyle name="T_Phuong an can doi nam 2008_Tong hop ra soat von ung 2011 -Chau 2" xfId="2072" xr:uid="{00000000-0005-0000-0000-00001C080000}"/>
    <cellStyle name="T_Phuong an can doi nam 2008_Tong hop -Yte-Giao thong-Thuy loi-24-6" xfId="2073" xr:uid="{00000000-0005-0000-0000-00001D080000}"/>
    <cellStyle name="T_Phuong an can doi nam 2008_Tong hop -Yte-Giao thong-Thuy loi-24-6 2" xfId="2074" xr:uid="{00000000-0005-0000-0000-00001E080000}"/>
    <cellStyle name="T_San sat hach moi" xfId="2075" xr:uid="{00000000-0005-0000-0000-00001F080000}"/>
    <cellStyle name="T_San sat hach moi 2" xfId="2076" xr:uid="{00000000-0005-0000-0000-000020080000}"/>
    <cellStyle name="T_Seagame(BTL)" xfId="2077" xr:uid="{00000000-0005-0000-0000-000021080000}"/>
    <cellStyle name="T_So GTVT" xfId="2078" xr:uid="{00000000-0005-0000-0000-000022080000}"/>
    <cellStyle name="T_So GTVT 2" xfId="2079" xr:uid="{00000000-0005-0000-0000-000023080000}"/>
    <cellStyle name="T_So GTVT_bieu tong hop" xfId="2080" xr:uid="{00000000-0005-0000-0000-000024080000}"/>
    <cellStyle name="T_So GTVT_bieu tong hop 2" xfId="2081" xr:uid="{00000000-0005-0000-0000-000025080000}"/>
    <cellStyle name="T_So GTVT_Tong hop ra soat von ung 2011 -Chau" xfId="2082" xr:uid="{00000000-0005-0000-0000-000026080000}"/>
    <cellStyle name="T_So GTVT_Tong hop ra soat von ung 2011 -Chau 2" xfId="2083" xr:uid="{00000000-0005-0000-0000-000027080000}"/>
    <cellStyle name="T_So GTVT_Tong hop -Yte-Giao thong-Thuy loi-24-6" xfId="2084" xr:uid="{00000000-0005-0000-0000-000028080000}"/>
    <cellStyle name="T_So GTVT_Tong hop -Yte-Giao thong-Thuy loi-24-6 2" xfId="2085" xr:uid="{00000000-0005-0000-0000-000029080000}"/>
    <cellStyle name="T_SS BVTC cau va cong tuyen Le Chan" xfId="2086" xr:uid="{00000000-0005-0000-0000-00002A080000}"/>
    <cellStyle name="T_SS BVTC cau va cong tuyen Le Chan 2" xfId="2087" xr:uid="{00000000-0005-0000-0000-00002B080000}"/>
    <cellStyle name="T_Tay Bac 1" xfId="2088" xr:uid="{00000000-0005-0000-0000-00002C080000}"/>
    <cellStyle name="T_Tay Bac 1 2" xfId="2089" xr:uid="{00000000-0005-0000-0000-00002D080000}"/>
    <cellStyle name="T_Tay Bac 1_Bao cao kiem toan kh 2010" xfId="2090" xr:uid="{00000000-0005-0000-0000-00002E080000}"/>
    <cellStyle name="T_Tay Bac 1_Bao cao kiem toan kh 2010 2" xfId="2091" xr:uid="{00000000-0005-0000-0000-00002F080000}"/>
    <cellStyle name="T_Tay Bac 1_Book1" xfId="2092" xr:uid="{00000000-0005-0000-0000-000030080000}"/>
    <cellStyle name="T_Tay Bac 1_Book1 2" xfId="2093" xr:uid="{00000000-0005-0000-0000-000031080000}"/>
    <cellStyle name="T_Tay Bac 1_Ke hoach 2010 (theo doi)2" xfId="2094" xr:uid="{00000000-0005-0000-0000-000032080000}"/>
    <cellStyle name="T_Tay Bac 1_Ke hoach 2010 (theo doi)2 2" xfId="2095" xr:uid="{00000000-0005-0000-0000-000033080000}"/>
    <cellStyle name="T_Tay Bac 1_QD UBND tinh" xfId="2096" xr:uid="{00000000-0005-0000-0000-000034080000}"/>
    <cellStyle name="T_Tay Bac 1_QD UBND tinh 2" xfId="2097" xr:uid="{00000000-0005-0000-0000-000035080000}"/>
    <cellStyle name="T_Tay Bac 1_Worksheet in D: My Documents Luc Van ban xu ly Nam 2011 Bao cao ra soat tam ung TPCP" xfId="2098" xr:uid="{00000000-0005-0000-0000-000036080000}"/>
    <cellStyle name="T_Tay Bac 1_Worksheet in D: My Documents Luc Van ban xu ly Nam 2011 Bao cao ra soat tam ung TPCP 2" xfId="2099" xr:uid="{00000000-0005-0000-0000-000037080000}"/>
    <cellStyle name="T_TDT + duong(8-5-07)" xfId="2100" xr:uid="{00000000-0005-0000-0000-000038080000}"/>
    <cellStyle name="T_TDT + duong(8-5-07) 2" xfId="2101" xr:uid="{00000000-0005-0000-0000-000039080000}"/>
    <cellStyle name="T_tien2004" xfId="2114" xr:uid="{00000000-0005-0000-0000-000046080000}"/>
    <cellStyle name="T_tien2004 2" xfId="2115" xr:uid="{00000000-0005-0000-0000-000047080000}"/>
    <cellStyle name="T_TKE-ChoDon-sua" xfId="2116" xr:uid="{00000000-0005-0000-0000-000048080000}"/>
    <cellStyle name="T_TKE-ChoDon-sua 2" xfId="2117" xr:uid="{00000000-0005-0000-0000-000049080000}"/>
    <cellStyle name="T_Tong hop 3 tinh (11_5)-TTH-QN-QT" xfId="2118" xr:uid="{00000000-0005-0000-0000-00004A080000}"/>
    <cellStyle name="T_Tong hop 3 tinh (11_5)-TTH-QN-QT 2" xfId="2119" xr:uid="{00000000-0005-0000-0000-00004B080000}"/>
    <cellStyle name="T_Tong hop khoi luong Dot 3" xfId="2120" xr:uid="{00000000-0005-0000-0000-00004C080000}"/>
    <cellStyle name="T_Tong hop khoi luong Dot 3 2" xfId="2121" xr:uid="{00000000-0005-0000-0000-00004D080000}"/>
    <cellStyle name="T_Tong hop theo doi von TPCP" xfId="2122" xr:uid="{00000000-0005-0000-0000-00004E080000}"/>
    <cellStyle name="T_Tong hop theo doi von TPCP 2" xfId="2123" xr:uid="{00000000-0005-0000-0000-00004F080000}"/>
    <cellStyle name="T_Tong hop theo doi von TPCP_Bao cao kiem toan kh 2010" xfId="2124" xr:uid="{00000000-0005-0000-0000-000050080000}"/>
    <cellStyle name="T_Tong hop theo doi von TPCP_Bao cao kiem toan kh 2010 2" xfId="2125" xr:uid="{00000000-0005-0000-0000-000051080000}"/>
    <cellStyle name="T_Tong hop theo doi von TPCP_Ke hoach 2010 (theo doi)2" xfId="2126" xr:uid="{00000000-0005-0000-0000-000052080000}"/>
    <cellStyle name="T_Tong hop theo doi von TPCP_Ke hoach 2010 (theo doi)2 2" xfId="2127" xr:uid="{00000000-0005-0000-0000-000053080000}"/>
    <cellStyle name="T_Tong hop theo doi von TPCP_QD UBND tinh" xfId="2128" xr:uid="{00000000-0005-0000-0000-000054080000}"/>
    <cellStyle name="T_Tong hop theo doi von TPCP_QD UBND tinh 2" xfId="2129" xr:uid="{00000000-0005-0000-0000-000055080000}"/>
    <cellStyle name="T_Tong hop theo doi von TPCP_Worksheet in D: My Documents Luc Van ban xu ly Nam 2011 Bao cao ra soat tam ung TPCP" xfId="2130" xr:uid="{00000000-0005-0000-0000-000056080000}"/>
    <cellStyle name="T_Tong hop theo doi von TPCP_Worksheet in D: My Documents Luc Van ban xu ly Nam 2011 Bao cao ra soat tam ung TPCP 2" xfId="2131" xr:uid="{00000000-0005-0000-0000-000057080000}"/>
    <cellStyle name="T_tham_tra_du_toan" xfId="2102" xr:uid="{00000000-0005-0000-0000-00003A080000}"/>
    <cellStyle name="T_tham_tra_du_toan 2" xfId="2103" xr:uid="{00000000-0005-0000-0000-00003B080000}"/>
    <cellStyle name="T_Thiet bi" xfId="2104" xr:uid="{00000000-0005-0000-0000-00003C080000}"/>
    <cellStyle name="T_Thiet bi 2" xfId="2105" xr:uid="{00000000-0005-0000-0000-00003D080000}"/>
    <cellStyle name="T_THKL 1303" xfId="2106" xr:uid="{00000000-0005-0000-0000-00003E080000}"/>
    <cellStyle name="T_THKL 1303 2" xfId="2107" xr:uid="{00000000-0005-0000-0000-00003F080000}"/>
    <cellStyle name="T_Thong ke" xfId="2108" xr:uid="{00000000-0005-0000-0000-000040080000}"/>
    <cellStyle name="T_Thong ke 2" xfId="2109" xr:uid="{00000000-0005-0000-0000-000041080000}"/>
    <cellStyle name="T_Thong ke cong" xfId="2110" xr:uid="{00000000-0005-0000-0000-000042080000}"/>
    <cellStyle name="T_Thong ke cong 2" xfId="2111" xr:uid="{00000000-0005-0000-0000-000043080000}"/>
    <cellStyle name="T_thong ke giao dan sinh" xfId="2112" xr:uid="{00000000-0005-0000-0000-000044080000}"/>
    <cellStyle name="T_thong ke giao dan sinh 2" xfId="2113" xr:uid="{00000000-0005-0000-0000-000045080000}"/>
    <cellStyle name="T_VBPL kiểm toán Đầu tư XDCB 2010" xfId="2132" xr:uid="{00000000-0005-0000-0000-000058080000}"/>
    <cellStyle name="T_VBPL kiểm toán Đầu tư XDCB 2010 2" xfId="2133" xr:uid="{00000000-0005-0000-0000-000059080000}"/>
    <cellStyle name="T_Worksheet in D: ... Hoan thien 5goi theo KL cu 28-06 4.Cong 5goi Coc 33-Km1+490.13 Cong coc 33-km1+490.13" xfId="2134" xr:uid="{00000000-0005-0000-0000-00005A080000}"/>
    <cellStyle name="T_Worksheet in D: ... Hoan thien 5goi theo KL cu 28-06 4.Cong 5goi Coc 33-Km1+490.13 Cong coc 33-km1+490.13 2" xfId="2135" xr:uid="{00000000-0005-0000-0000-00005B080000}"/>
    <cellStyle name="T_ÿÿÿÿÿ" xfId="2136" xr:uid="{00000000-0005-0000-0000-00005C080000}"/>
    <cellStyle name="T_ÿÿÿÿÿ 2" xfId="2137" xr:uid="{00000000-0005-0000-0000-00005D080000}"/>
    <cellStyle name="Text" xfId="2138" xr:uid="{00000000-0005-0000-0000-00005E080000}"/>
    <cellStyle name="Text Indent A" xfId="2139" xr:uid="{00000000-0005-0000-0000-00005F080000}"/>
    <cellStyle name="Text Indent B" xfId="2140" xr:uid="{00000000-0005-0000-0000-000060080000}"/>
    <cellStyle name="Text Indent C" xfId="2141" xr:uid="{00000000-0005-0000-0000-000061080000}"/>
    <cellStyle name="Text_Bao cao doan cong tac cua Bo thang 4-2010" xfId="2142" xr:uid="{00000000-0005-0000-0000-000062080000}"/>
    <cellStyle name="Tien1" xfId="2155" xr:uid="{00000000-0005-0000-0000-00006F080000}"/>
    <cellStyle name="Tiêu đề" xfId="2156" xr:uid="{00000000-0005-0000-0000-000070080000}"/>
    <cellStyle name="Times New Roman" xfId="2157" xr:uid="{00000000-0005-0000-0000-000071080000}"/>
    <cellStyle name="Tính toán" xfId="2158" xr:uid="{00000000-0005-0000-0000-000072080000}"/>
    <cellStyle name="Tính toán 2" xfId="2159" xr:uid="{00000000-0005-0000-0000-000073080000}"/>
    <cellStyle name="tit1" xfId="2160" xr:uid="{00000000-0005-0000-0000-000074080000}"/>
    <cellStyle name="tit2" xfId="2161" xr:uid="{00000000-0005-0000-0000-000075080000}"/>
    <cellStyle name="tit2 2" xfId="2162" xr:uid="{00000000-0005-0000-0000-000076080000}"/>
    <cellStyle name="tit3" xfId="2163" xr:uid="{00000000-0005-0000-0000-000077080000}"/>
    <cellStyle name="tit4" xfId="2164" xr:uid="{00000000-0005-0000-0000-000078080000}"/>
    <cellStyle name="Title 2" xfId="2165" xr:uid="{00000000-0005-0000-0000-000079080000}"/>
    <cellStyle name="Title 3" xfId="2166" xr:uid="{00000000-0005-0000-0000-00007A080000}"/>
    <cellStyle name="Tongcong" xfId="2169" xr:uid="{00000000-0005-0000-0000-00007D080000}"/>
    <cellStyle name="Tongcong 2" xfId="2170" xr:uid="{00000000-0005-0000-0000-00007E080000}"/>
    <cellStyle name="Total 2" xfId="2172" xr:uid="{00000000-0005-0000-0000-000080080000}"/>
    <cellStyle name="Total 3" xfId="2173" xr:uid="{00000000-0005-0000-0000-000081080000}"/>
    <cellStyle name="Total 3 2" xfId="2174" xr:uid="{00000000-0005-0000-0000-000082080000}"/>
    <cellStyle name="Total 4" xfId="2175" xr:uid="{00000000-0005-0000-0000-000083080000}"/>
    <cellStyle name="Tổng" xfId="2167" xr:uid="{00000000-0005-0000-0000-00007B080000}"/>
    <cellStyle name="Tổng 2" xfId="2168" xr:uid="{00000000-0005-0000-0000-00007C080000}"/>
    <cellStyle name="Tốt" xfId="2171" xr:uid="{00000000-0005-0000-0000-00007F080000}"/>
    <cellStyle name="tt1" xfId="2178" xr:uid="{00000000-0005-0000-0000-000086080000}"/>
    <cellStyle name="Tuan" xfId="2179" xr:uid="{00000000-0005-0000-0000-000087080000}"/>
    <cellStyle name="Tusental (0)_pldt" xfId="2180" xr:uid="{00000000-0005-0000-0000-000088080000}"/>
    <cellStyle name="Tusental_pldt" xfId="2181" xr:uid="{00000000-0005-0000-0000-000089080000}"/>
    <cellStyle name="th" xfId="2143" xr:uid="{00000000-0005-0000-0000-000063080000}"/>
    <cellStyle name="th 2" xfId="2144" xr:uid="{00000000-0005-0000-0000-000064080000}"/>
    <cellStyle name="than" xfId="2145" xr:uid="{00000000-0005-0000-0000-000065080000}"/>
    <cellStyle name="thanh" xfId="2146" xr:uid="{00000000-0005-0000-0000-000066080000}"/>
    <cellStyle name="þ_x001d_ð¤_x000c_¯þ_x0014__x000d_¨þU_x0001_À_x0004_ _x0015__x000f__x0001__x0001_" xfId="2147" xr:uid="{00000000-0005-0000-0000-000067080000}"/>
    <cellStyle name="þ_x001d_ð·_x000c_æþ'_x000d_ßþU_x0001_Ø_x0005_ü_x0014__x0007__x0001__x0001_" xfId="2148" xr:uid="{00000000-0005-0000-0000-000068080000}"/>
    <cellStyle name="þ_x001d_ðÇ%Uý—&amp;Hý9_x0008_Ÿ s_x000a__x0007__x0001__x0001_" xfId="2149" xr:uid="{00000000-0005-0000-0000-000069080000}"/>
    <cellStyle name="þ_x001d_ðÇ%Uý—&amp;Hý9_x0008_Ÿ_x0009_s_x000a__x0007__x0001__x0001_" xfId="2150" xr:uid="{00000000-0005-0000-0000-00006A080000}"/>
    <cellStyle name="þ_x001d_ðK_x000c_Fý_x001b__x000d_9ýU_x0001_Ð_x0008_¦)_x0007__x0001__x0001_" xfId="2151" xr:uid="{00000000-0005-0000-0000-00006B080000}"/>
    <cellStyle name="thuong-10" xfId="2152" xr:uid="{00000000-0005-0000-0000-00006C080000}"/>
    <cellStyle name="thuong-11" xfId="2153" xr:uid="{00000000-0005-0000-0000-00006D080000}"/>
    <cellStyle name="Thuyet minh" xfId="2154" xr:uid="{00000000-0005-0000-0000-00006E080000}"/>
    <cellStyle name="trang" xfId="2176" xr:uid="{00000000-0005-0000-0000-000084080000}"/>
    <cellStyle name="Trung tính" xfId="2177" xr:uid="{00000000-0005-0000-0000-000085080000}"/>
    <cellStyle name="u" xfId="2182" xr:uid="{00000000-0005-0000-0000-00008A080000}"/>
    <cellStyle name="ux_3_¼­¿ï-¾È»ê" xfId="2183" xr:uid="{00000000-0005-0000-0000-00008B080000}"/>
    <cellStyle name="Valuta (0)_CALPREZZ" xfId="2184" xr:uid="{00000000-0005-0000-0000-00008C080000}"/>
    <cellStyle name="Valuta_ PESO ELETTR." xfId="2185" xr:uid="{00000000-0005-0000-0000-00008D080000}"/>
    <cellStyle name="VANG1" xfId="2188" xr:uid="{00000000-0005-0000-0000-000090080000}"/>
    <cellStyle name="Văn bản Cảnh báo" xfId="2186" xr:uid="{00000000-0005-0000-0000-00008E080000}"/>
    <cellStyle name="Văn bản Giải thích" xfId="2187" xr:uid="{00000000-0005-0000-0000-00008F080000}"/>
    <cellStyle name="viet" xfId="2189" xr:uid="{00000000-0005-0000-0000-000091080000}"/>
    <cellStyle name="viet2" xfId="2190" xr:uid="{00000000-0005-0000-0000-000092080000}"/>
    <cellStyle name="viet2 2" xfId="2191" xr:uid="{00000000-0005-0000-0000-000093080000}"/>
    <cellStyle name="Vietnam 1" xfId="2192" xr:uid="{00000000-0005-0000-0000-000094080000}"/>
    <cellStyle name="VN new romanNormal" xfId="2193" xr:uid="{00000000-0005-0000-0000-000095080000}"/>
    <cellStyle name="VN new romanNormal 2" xfId="2194" xr:uid="{00000000-0005-0000-0000-000096080000}"/>
    <cellStyle name="vn time 10" xfId="2195" xr:uid="{00000000-0005-0000-0000-000097080000}"/>
    <cellStyle name="Vn Time 13" xfId="2196" xr:uid="{00000000-0005-0000-0000-000098080000}"/>
    <cellStyle name="Vn Time 14" xfId="2197" xr:uid="{00000000-0005-0000-0000-000099080000}"/>
    <cellStyle name="VN time new roman" xfId="2198" xr:uid="{00000000-0005-0000-0000-00009A080000}"/>
    <cellStyle name="VN time new roman 2" xfId="2199" xr:uid="{00000000-0005-0000-0000-00009B080000}"/>
    <cellStyle name="vn_time" xfId="2200" xr:uid="{00000000-0005-0000-0000-00009C080000}"/>
    <cellStyle name="vnbo" xfId="2201" xr:uid="{00000000-0005-0000-0000-00009D080000}"/>
    <cellStyle name="vnbo 2" xfId="2202" xr:uid="{00000000-0005-0000-0000-00009E080000}"/>
    <cellStyle name="vntxt1" xfId="2210" xr:uid="{00000000-0005-0000-0000-0000A6080000}"/>
    <cellStyle name="vntxt2" xfId="2211" xr:uid="{00000000-0005-0000-0000-0000A7080000}"/>
    <cellStyle name="vnhead1" xfId="2203" xr:uid="{00000000-0005-0000-0000-00009F080000}"/>
    <cellStyle name="vnhead1 2" xfId="2204" xr:uid="{00000000-0005-0000-0000-0000A0080000}"/>
    <cellStyle name="vnhead2" xfId="2205" xr:uid="{00000000-0005-0000-0000-0000A1080000}"/>
    <cellStyle name="vnhead2 2" xfId="2206" xr:uid="{00000000-0005-0000-0000-0000A2080000}"/>
    <cellStyle name="vnhead3" xfId="2207" xr:uid="{00000000-0005-0000-0000-0000A3080000}"/>
    <cellStyle name="vnhead3 2" xfId="2208" xr:uid="{00000000-0005-0000-0000-0000A4080000}"/>
    <cellStyle name="vnhead4" xfId="2209" xr:uid="{00000000-0005-0000-0000-0000A5080000}"/>
    <cellStyle name="W?hrung [0]_35ERI8T2gbIEMixb4v26icuOo" xfId="2212" xr:uid="{00000000-0005-0000-0000-0000A8080000}"/>
    <cellStyle name="W?hrung_35ERI8T2gbIEMixb4v26icuOo" xfId="2213" xr:uid="{00000000-0005-0000-0000-0000A9080000}"/>
    <cellStyle name="Währung [0]_68574_Materialbedarfsliste" xfId="2214" xr:uid="{00000000-0005-0000-0000-0000AA080000}"/>
    <cellStyle name="Währung_68574_Materialbedarfsliste" xfId="2215" xr:uid="{00000000-0005-0000-0000-0000AB080000}"/>
    <cellStyle name="Walutowy [0]_Invoices2001Slovakia" xfId="2216" xr:uid="{00000000-0005-0000-0000-0000AC080000}"/>
    <cellStyle name="Walutowy_Invoices2001Slovakia" xfId="2217" xr:uid="{00000000-0005-0000-0000-0000AD080000}"/>
    <cellStyle name="Warning Text 2" xfId="2218" xr:uid="{00000000-0005-0000-0000-0000AE080000}"/>
    <cellStyle name="Warning Text 3" xfId="2219" xr:uid="{00000000-0005-0000-0000-0000AF080000}"/>
    <cellStyle name="wrap" xfId="2220" xr:uid="{00000000-0005-0000-0000-0000B0080000}"/>
    <cellStyle name="Wไhrung [0]_35ERI8T2gbIEMixb4v26icuOo" xfId="2221" xr:uid="{00000000-0005-0000-0000-0000B1080000}"/>
    <cellStyle name="Wไhrung_35ERI8T2gbIEMixb4v26icuOo" xfId="2222" xr:uid="{00000000-0005-0000-0000-0000B2080000}"/>
    <cellStyle name="Xấu" xfId="2223" xr:uid="{00000000-0005-0000-0000-0000B3080000}"/>
    <cellStyle name="xuan" xfId="2224" xr:uid="{00000000-0005-0000-0000-0000B4080000}"/>
    <cellStyle name="y" xfId="2225" xr:uid="{00000000-0005-0000-0000-0000B5080000}"/>
    <cellStyle name="Ý kh¸c_B¶ng 1 (2)" xfId="2226" xr:uid="{00000000-0005-0000-0000-0000B6080000}"/>
    <cellStyle name="เครื่องหมายสกุลเงิน [0]_FTC_OFFER" xfId="2227" xr:uid="{00000000-0005-0000-0000-0000B7080000}"/>
    <cellStyle name="เครื่องหมายสกุลเงิน_FTC_OFFER" xfId="2228" xr:uid="{00000000-0005-0000-0000-0000B8080000}"/>
    <cellStyle name="ปกติ_FTC_OFFER" xfId="2229" xr:uid="{00000000-0005-0000-0000-0000B9080000}"/>
    <cellStyle name=" [0.00]_ Att. 1- Cover" xfId="2230" xr:uid="{00000000-0005-0000-0000-0000BA080000}"/>
    <cellStyle name="_ Att. 1- Cover" xfId="2231" xr:uid="{00000000-0005-0000-0000-0000BB080000}"/>
    <cellStyle name="?_ Att. 1- Cover" xfId="2232" xr:uid="{00000000-0005-0000-0000-0000BC080000}"/>
    <cellStyle name="똿뗦먛귟 [0.00]_PRODUCT DETAIL Q1" xfId="2233" xr:uid="{00000000-0005-0000-0000-0000BD080000}"/>
    <cellStyle name="똿뗦먛귟_PRODUCT DETAIL Q1" xfId="2234" xr:uid="{00000000-0005-0000-0000-0000BE080000}"/>
    <cellStyle name="믅됞 [0.00]_PRODUCT DETAIL Q1" xfId="2235" xr:uid="{00000000-0005-0000-0000-0000BF080000}"/>
    <cellStyle name="믅됞_PRODUCT DETAIL Q1" xfId="2236" xr:uid="{00000000-0005-0000-0000-0000C0080000}"/>
    <cellStyle name="백분율_††††† " xfId="2237" xr:uid="{00000000-0005-0000-0000-0000C1080000}"/>
    <cellStyle name="뷭?_BOOKSHIP" xfId="2238" xr:uid="{00000000-0005-0000-0000-0000C2080000}"/>
    <cellStyle name="안건회계법인" xfId="2239" xr:uid="{00000000-0005-0000-0000-0000C3080000}"/>
    <cellStyle name="콤마 [ - 유형1" xfId="2240" xr:uid="{00000000-0005-0000-0000-0000C4080000}"/>
    <cellStyle name="콤마 [ - 유형2" xfId="2241" xr:uid="{00000000-0005-0000-0000-0000C5080000}"/>
    <cellStyle name="콤마 [ - 유형3" xfId="2242" xr:uid="{00000000-0005-0000-0000-0000C6080000}"/>
    <cellStyle name="콤마 [ - 유형4" xfId="2243" xr:uid="{00000000-0005-0000-0000-0000C7080000}"/>
    <cellStyle name="콤마 [ - 유형5" xfId="2244" xr:uid="{00000000-0005-0000-0000-0000C8080000}"/>
    <cellStyle name="콤마 [ - 유형6" xfId="2245" xr:uid="{00000000-0005-0000-0000-0000C9080000}"/>
    <cellStyle name="콤마 [ - 유형7" xfId="2246" xr:uid="{00000000-0005-0000-0000-0000CA080000}"/>
    <cellStyle name="콤마 [ - 유형8" xfId="2247" xr:uid="{00000000-0005-0000-0000-0000CB080000}"/>
    <cellStyle name="콤마 [0]_ 비목별 월별기술 " xfId="2248" xr:uid="{00000000-0005-0000-0000-0000CC080000}"/>
    <cellStyle name="콤마_ 비목별 월별기술 " xfId="2249" xr:uid="{00000000-0005-0000-0000-0000CD080000}"/>
    <cellStyle name="통화 [0]_††††† " xfId="2250" xr:uid="{00000000-0005-0000-0000-0000CE080000}"/>
    <cellStyle name="통화_††††† " xfId="2251" xr:uid="{00000000-0005-0000-0000-0000CF080000}"/>
    <cellStyle name="표준_ 97년 경영분석(안)" xfId="2252" xr:uid="{00000000-0005-0000-0000-0000D0080000}"/>
    <cellStyle name="표줠_Sheet1_1_총괄표 (수출입) (2)" xfId="2253" xr:uid="{00000000-0005-0000-0000-0000D1080000}"/>
    <cellStyle name="一般_00Q3902REV.1" xfId="2254" xr:uid="{00000000-0005-0000-0000-0000D2080000}"/>
    <cellStyle name="千分位[0]_00Q3902REV.1" xfId="2255" xr:uid="{00000000-0005-0000-0000-0000D3080000}"/>
    <cellStyle name="千分位_00Q3902REV.1" xfId="2256" xr:uid="{00000000-0005-0000-0000-0000D4080000}"/>
    <cellStyle name="桁区切り [0.00]_BE-BQ" xfId="2257" xr:uid="{00000000-0005-0000-0000-0000D5080000}"/>
    <cellStyle name="桁区切り_BE-BQ" xfId="2258" xr:uid="{00000000-0005-0000-0000-0000D6080000}"/>
    <cellStyle name="標準_(A1)BOQ " xfId="2259" xr:uid="{00000000-0005-0000-0000-0000D7080000}"/>
    <cellStyle name="貨幣 [0]_00Q3902REV.1" xfId="2260" xr:uid="{00000000-0005-0000-0000-0000D8080000}"/>
    <cellStyle name="貨幣[0]_BRE" xfId="2261" xr:uid="{00000000-0005-0000-0000-0000D9080000}"/>
    <cellStyle name="貨幣_00Q3902REV.1" xfId="2262" xr:uid="{00000000-0005-0000-0000-0000DA080000}"/>
    <cellStyle name="通貨 [0.00]_BE-BQ" xfId="2263" xr:uid="{00000000-0005-0000-0000-0000DB080000}"/>
    <cellStyle name="通貨_BE-BQ" xfId="2264" xr:uid="{00000000-0005-0000-0000-0000DC080000}"/>
  </cellStyles>
  <dxfs count="0"/>
  <tableStyles count="0" defaultTableStyle="TableStyleMedium9" defaultPivotStyle="PivotStyleLight16"/>
  <colors>
    <mruColors>
      <color rgb="FF0033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J39"/>
  <sheetViews>
    <sheetView workbookViewId="0">
      <selection activeCell="C19" sqref="C19"/>
    </sheetView>
  </sheetViews>
  <sheetFormatPr defaultColWidth="9.125" defaultRowHeight="15.75"/>
  <cols>
    <col min="1" max="3" width="9.125" style="5"/>
    <col min="4" max="4" width="16.75" style="5" customWidth="1"/>
    <col min="5" max="6" width="15.75" style="5" customWidth="1"/>
    <col min="7" max="7" width="20.875" style="5" hidden="1" customWidth="1"/>
    <col min="8" max="9" width="20.625" style="5" hidden="1" customWidth="1"/>
    <col min="10" max="10" width="20.625" style="5" customWidth="1"/>
    <col min="11" max="11" width="9.125" style="5"/>
    <col min="12" max="12" width="16.375" style="5" customWidth="1"/>
    <col min="13" max="13" width="24.25" style="5" customWidth="1"/>
    <col min="14" max="14" width="17.625" style="5" customWidth="1"/>
    <col min="15" max="16384" width="9.125" style="5"/>
  </cols>
  <sheetData>
    <row r="3" spans="3:10" ht="49.5" customHeight="1">
      <c r="C3" s="1" t="s">
        <v>14</v>
      </c>
      <c r="D3" s="1" t="s">
        <v>0</v>
      </c>
      <c r="E3" s="2" t="s">
        <v>6</v>
      </c>
      <c r="F3" s="2" t="s">
        <v>13</v>
      </c>
      <c r="G3" s="3" t="s">
        <v>1</v>
      </c>
      <c r="H3" s="3" t="s">
        <v>5</v>
      </c>
      <c r="I3" s="4"/>
    </row>
    <row r="4" spans="3:10" ht="18" customHeight="1">
      <c r="C4" s="6">
        <v>2011</v>
      </c>
      <c r="D4" s="7">
        <v>1127</v>
      </c>
      <c r="E4" s="7"/>
      <c r="F4" s="487">
        <f>(E5+E6+E7+E8)/4</f>
        <v>10.717123307400957</v>
      </c>
      <c r="G4" s="3"/>
      <c r="H4" s="3"/>
      <c r="I4" s="4"/>
    </row>
    <row r="5" spans="3:10" ht="18" customHeight="1">
      <c r="C5" s="6">
        <v>2012</v>
      </c>
      <c r="D5" s="7">
        <v>1427</v>
      </c>
      <c r="E5" s="8">
        <f>(D5-D4)/D4*100</f>
        <v>26.619343389529725</v>
      </c>
      <c r="F5" s="488"/>
      <c r="G5" s="3"/>
      <c r="H5" s="3"/>
      <c r="I5" s="4"/>
    </row>
    <row r="6" spans="3:10" ht="18" customHeight="1">
      <c r="C6" s="6">
        <v>2013</v>
      </c>
      <c r="D6" s="7">
        <v>1448</v>
      </c>
      <c r="E6" s="8">
        <f t="shared" ref="E6:E7" si="0">(D6-D5)/D5*100</f>
        <v>1.4716187806587244</v>
      </c>
      <c r="F6" s="488"/>
      <c r="G6" s="3"/>
      <c r="H6" s="3"/>
      <c r="I6" s="4"/>
    </row>
    <row r="7" spans="3:10" ht="18" customHeight="1">
      <c r="C7" s="6">
        <v>2014</v>
      </c>
      <c r="D7" s="7">
        <v>1733</v>
      </c>
      <c r="E7" s="8">
        <f t="shared" si="0"/>
        <v>19.682320441988953</v>
      </c>
      <c r="F7" s="488"/>
      <c r="G7" s="3"/>
      <c r="H7" s="3"/>
      <c r="I7" s="4"/>
    </row>
    <row r="8" spans="3:10" ht="18" customHeight="1">
      <c r="C8" s="6">
        <v>2015</v>
      </c>
      <c r="D8" s="7">
        <v>1648</v>
      </c>
      <c r="E8" s="8">
        <f>(D8-D7)/D7*100</f>
        <v>-4.904789382573572</v>
      </c>
      <c r="F8" s="488"/>
      <c r="G8" s="3"/>
      <c r="H8" s="3"/>
      <c r="I8" s="4"/>
    </row>
    <row r="9" spans="3:10" ht="18" customHeight="1">
      <c r="C9" s="492" t="s">
        <v>15</v>
      </c>
      <c r="D9" s="493"/>
      <c r="E9" s="494"/>
      <c r="F9" s="489">
        <v>14</v>
      </c>
      <c r="G9" s="3"/>
      <c r="H9" s="3"/>
      <c r="I9" s="4"/>
    </row>
    <row r="10" spans="3:10" ht="3" customHeight="1">
      <c r="C10" s="495"/>
      <c r="D10" s="496"/>
      <c r="E10" s="497"/>
      <c r="F10" s="490"/>
      <c r="G10" s="3"/>
      <c r="H10" s="3"/>
      <c r="I10" s="4"/>
    </row>
    <row r="11" spans="3:10" ht="18" hidden="1" customHeight="1">
      <c r="C11" s="495"/>
      <c r="D11" s="496"/>
      <c r="E11" s="497"/>
      <c r="F11" s="490"/>
      <c r="G11" s="3"/>
      <c r="H11" s="3"/>
      <c r="I11" s="4"/>
    </row>
    <row r="12" spans="3:10" ht="18" hidden="1" customHeight="1">
      <c r="C12" s="495"/>
      <c r="D12" s="496"/>
      <c r="E12" s="497"/>
      <c r="F12" s="490"/>
      <c r="G12" s="3"/>
      <c r="H12" s="3"/>
      <c r="I12" s="4"/>
    </row>
    <row r="13" spans="3:10" ht="18" hidden="1" customHeight="1">
      <c r="C13" s="498"/>
      <c r="D13" s="499"/>
      <c r="E13" s="500"/>
      <c r="F13" s="491"/>
      <c r="G13" s="3"/>
      <c r="H13" s="3"/>
      <c r="I13" s="4"/>
    </row>
    <row r="14" spans="3:10">
      <c r="C14" s="6">
        <v>2021</v>
      </c>
      <c r="D14" s="7">
        <v>2670</v>
      </c>
      <c r="E14" s="8"/>
      <c r="F14" s="501">
        <f>SUM(E15:E18)/4</f>
        <v>14.788894279841934</v>
      </c>
      <c r="G14" s="9" t="e">
        <f>#REF!/#REF!*100</f>
        <v>#REF!</v>
      </c>
      <c r="H14" s="9"/>
      <c r="I14" s="10"/>
    </row>
    <row r="15" spans="3:10">
      <c r="C15" s="6">
        <v>2022</v>
      </c>
      <c r="D15" s="7">
        <v>2920</v>
      </c>
      <c r="E15" s="9">
        <f>(D15-D14)/D14*100</f>
        <v>9.3632958801498134</v>
      </c>
      <c r="F15" s="502"/>
      <c r="G15" s="9" t="e">
        <f>#REF!/#REF!*100</f>
        <v>#REF!</v>
      </c>
      <c r="H15" s="9" t="e">
        <f>G15-G14</f>
        <v>#REF!</v>
      </c>
      <c r="I15" s="10"/>
      <c r="J15" s="11"/>
    </row>
    <row r="16" spans="3:10">
      <c r="C16" s="6">
        <v>2023</v>
      </c>
      <c r="D16" s="7">
        <v>3335</v>
      </c>
      <c r="E16" s="9">
        <f t="shared" ref="E16:E17" si="1">(D16-D15)/D15*100</f>
        <v>14.212328767123289</v>
      </c>
      <c r="F16" s="502"/>
      <c r="G16" s="9" t="e">
        <f>#REF!/#REF!*100</f>
        <v>#REF!</v>
      </c>
      <c r="H16" s="9" t="e">
        <f t="shared" ref="H16:H18" si="2">G16-G15</f>
        <v>#REF!</v>
      </c>
      <c r="I16" s="10" t="e">
        <f>SUM(H15:H18)/4</f>
        <v>#REF!</v>
      </c>
    </row>
    <row r="17" spans="3:9">
      <c r="C17" s="6">
        <v>2024</v>
      </c>
      <c r="D17" s="7">
        <v>3774</v>
      </c>
      <c r="E17" s="9">
        <f t="shared" si="1"/>
        <v>13.163418290854572</v>
      </c>
      <c r="F17" s="502"/>
      <c r="G17" s="9" t="e">
        <f>#REF!/#REF!*100</f>
        <v>#REF!</v>
      </c>
      <c r="H17" s="9" t="e">
        <f t="shared" si="2"/>
        <v>#REF!</v>
      </c>
      <c r="I17" s="10"/>
    </row>
    <row r="18" spans="3:9">
      <c r="C18" s="6">
        <v>2025</v>
      </c>
      <c r="D18" s="7">
        <v>4620</v>
      </c>
      <c r="E18" s="9">
        <f>(D18-D17)/D17*100</f>
        <v>22.416534181240063</v>
      </c>
      <c r="F18" s="503"/>
      <c r="G18" s="9" t="e">
        <f>#REF!/#REF!*100</f>
        <v>#REF!</v>
      </c>
      <c r="H18" s="9" t="e">
        <f t="shared" si="2"/>
        <v>#REF!</v>
      </c>
      <c r="I18" s="10"/>
    </row>
    <row r="19" spans="3:9">
      <c r="C19" s="10"/>
      <c r="D19" s="11"/>
    </row>
    <row r="20" spans="3:9">
      <c r="C20" s="10"/>
    </row>
    <row r="21" spans="3:9" ht="47.25">
      <c r="C21" s="10"/>
      <c r="D21" s="12" t="s">
        <v>3</v>
      </c>
      <c r="E21" s="12" t="s">
        <v>7</v>
      </c>
      <c r="F21" s="13" t="s">
        <v>8</v>
      </c>
    </row>
    <row r="22" spans="3:9">
      <c r="C22" s="10"/>
      <c r="D22" s="1" t="s">
        <v>2</v>
      </c>
      <c r="E22" s="7">
        <v>14</v>
      </c>
      <c r="F22" s="14"/>
    </row>
    <row r="23" spans="3:9">
      <c r="C23" s="10"/>
      <c r="D23" s="1" t="s">
        <v>4</v>
      </c>
      <c r="E23" s="7">
        <v>14.8</v>
      </c>
      <c r="F23" s="14">
        <f>E23-E22</f>
        <v>0.80000000000000071</v>
      </c>
    </row>
    <row r="24" spans="3:9">
      <c r="C24" s="10"/>
      <c r="D24" s="1" t="s">
        <v>9</v>
      </c>
      <c r="E24" s="8">
        <f>E23+$F$23</f>
        <v>15.600000000000001</v>
      </c>
      <c r="F24" s="14"/>
    </row>
    <row r="25" spans="3:9">
      <c r="C25" s="10"/>
      <c r="D25" s="1" t="s">
        <v>10</v>
      </c>
      <c r="E25" s="8">
        <f>E24+$F$23</f>
        <v>16.400000000000002</v>
      </c>
      <c r="F25" s="14"/>
    </row>
    <row r="26" spans="3:9">
      <c r="C26" s="10"/>
      <c r="D26" s="1" t="s">
        <v>11</v>
      </c>
      <c r="E26" s="8">
        <f>E25+$F$23</f>
        <v>17.200000000000003</v>
      </c>
      <c r="F26" s="14"/>
    </row>
    <row r="27" spans="3:9">
      <c r="C27" s="10"/>
      <c r="D27" s="1" t="s">
        <v>12</v>
      </c>
      <c r="E27" s="8">
        <f>E26+$F$23</f>
        <v>18.000000000000004</v>
      </c>
      <c r="F27" s="14"/>
    </row>
    <row r="28" spans="3:9">
      <c r="C28" s="10"/>
    </row>
    <row r="29" spans="3:9">
      <c r="C29" s="10"/>
    </row>
    <row r="30" spans="3:9">
      <c r="C30" s="10"/>
    </row>
    <row r="31" spans="3:9">
      <c r="C31" s="10"/>
    </row>
    <row r="32" spans="3:9">
      <c r="C32" s="10"/>
    </row>
    <row r="33" spans="3:10">
      <c r="C33" s="10"/>
    </row>
    <row r="34" spans="3:10">
      <c r="C34" s="10"/>
    </row>
    <row r="35" spans="3:10">
      <c r="C35" s="10"/>
    </row>
    <row r="36" spans="3:10">
      <c r="C36" s="10"/>
    </row>
    <row r="37" spans="3:10">
      <c r="C37" s="10"/>
    </row>
    <row r="38" spans="3:10">
      <c r="C38" s="10"/>
    </row>
    <row r="39" spans="3:10">
      <c r="J39" s="10"/>
    </row>
  </sheetData>
  <mergeCells count="4">
    <mergeCell ref="F4:F8"/>
    <mergeCell ref="F9:F13"/>
    <mergeCell ref="C9:E13"/>
    <mergeCell ref="F14:F18"/>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G26"/>
  <sheetViews>
    <sheetView showZeros="0" topLeftCell="H1" zoomScale="90" zoomScaleNormal="90" workbookViewId="0">
      <selection activeCell="AK13" sqref="AK13"/>
    </sheetView>
  </sheetViews>
  <sheetFormatPr defaultColWidth="9.125" defaultRowHeight="15"/>
  <cols>
    <col min="1" max="1" width="4.75" style="228" customWidth="1"/>
    <col min="2" max="2" width="23" style="228" customWidth="1"/>
    <col min="3" max="3" width="11.25" style="228" customWidth="1"/>
    <col min="4" max="4" width="8.125" style="228" customWidth="1"/>
    <col min="5" max="5" width="7.75" style="228" customWidth="1"/>
    <col min="6" max="6" width="7.375" style="228" customWidth="1"/>
    <col min="7" max="7" width="9.75" style="228" customWidth="1"/>
    <col min="8" max="8" width="9.625" style="228" customWidth="1"/>
    <col min="9" max="9" width="8.125" style="228" customWidth="1"/>
    <col min="10" max="10" width="9.25" style="228" customWidth="1"/>
    <col min="11" max="11" width="9.125" style="228" customWidth="1"/>
    <col min="12" max="12" width="10.375" style="228" customWidth="1"/>
    <col min="13" max="13" width="10.25" style="228" customWidth="1"/>
    <col min="14" max="15" width="9.625" style="228" customWidth="1"/>
    <col min="16" max="16" width="11.25" style="228" customWidth="1"/>
    <col min="17" max="17" width="11.625" style="228" customWidth="1"/>
    <col min="18" max="19" width="9.125" style="228" customWidth="1"/>
    <col min="20" max="20" width="10.375" style="228" customWidth="1"/>
    <col min="21" max="21" width="11.375" style="228" customWidth="1"/>
    <col min="22" max="25" width="9.125" style="228" customWidth="1"/>
    <col min="26" max="27" width="11.125" style="228" customWidth="1"/>
    <col min="28" max="28" width="9.75" style="228" customWidth="1"/>
    <col min="29" max="32" width="9.125" style="228" customWidth="1"/>
    <col min="33" max="16384" width="9.125" style="228"/>
  </cols>
  <sheetData>
    <row r="1" spans="1:33">
      <c r="AE1" s="567" t="s">
        <v>713</v>
      </c>
      <c r="AF1" s="567"/>
    </row>
    <row r="2" spans="1:33" ht="15" customHeight="1">
      <c r="A2" s="568" t="s">
        <v>870</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row>
    <row r="3" spans="1:33">
      <c r="A3" s="569" t="s">
        <v>871</v>
      </c>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row>
    <row r="4" spans="1:33">
      <c r="A4" s="254"/>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570" t="s">
        <v>869</v>
      </c>
      <c r="AD4" s="570"/>
      <c r="AE4" s="570"/>
      <c r="AF4" s="570"/>
    </row>
    <row r="5" spans="1:33" ht="15" customHeight="1">
      <c r="A5" s="566" t="s">
        <v>16</v>
      </c>
      <c r="B5" s="571" t="s">
        <v>890</v>
      </c>
      <c r="C5" s="574" t="s">
        <v>18</v>
      </c>
      <c r="D5" s="575"/>
      <c r="E5" s="575"/>
      <c r="F5" s="575"/>
      <c r="G5" s="575"/>
      <c r="H5" s="575"/>
      <c r="I5" s="575"/>
      <c r="J5" s="575"/>
      <c r="K5" s="575"/>
      <c r="L5" s="575"/>
      <c r="M5" s="575"/>
      <c r="N5" s="575"/>
      <c r="O5" s="576"/>
      <c r="P5" s="574" t="s">
        <v>19</v>
      </c>
      <c r="Q5" s="575"/>
      <c r="R5" s="575"/>
      <c r="S5" s="575"/>
      <c r="T5" s="575"/>
      <c r="U5" s="575"/>
      <c r="V5" s="575"/>
      <c r="W5" s="575"/>
      <c r="X5" s="575"/>
      <c r="Y5" s="575"/>
      <c r="Z5" s="575"/>
      <c r="AA5" s="576"/>
      <c r="AB5" s="566" t="s">
        <v>65</v>
      </c>
      <c r="AC5" s="566"/>
      <c r="AD5" s="566"/>
      <c r="AE5" s="566"/>
      <c r="AF5" s="566"/>
      <c r="AG5" s="566"/>
    </row>
    <row r="6" spans="1:33" ht="26.25" customHeight="1">
      <c r="A6" s="566"/>
      <c r="B6" s="572"/>
      <c r="C6" s="566" t="s">
        <v>158</v>
      </c>
      <c r="D6" s="566" t="s">
        <v>43</v>
      </c>
      <c r="E6" s="566"/>
      <c r="F6" s="566"/>
      <c r="G6" s="566" t="s">
        <v>44</v>
      </c>
      <c r="H6" s="566"/>
      <c r="I6" s="566"/>
      <c r="J6" s="571" t="s">
        <v>600</v>
      </c>
      <c r="K6" s="566" t="s">
        <v>163</v>
      </c>
      <c r="L6" s="566"/>
      <c r="M6" s="566"/>
      <c r="N6" s="566" t="s">
        <v>51</v>
      </c>
      <c r="O6" s="566" t="s">
        <v>1064</v>
      </c>
      <c r="P6" s="566" t="s">
        <v>158</v>
      </c>
      <c r="Q6" s="566" t="s">
        <v>43</v>
      </c>
      <c r="R6" s="566"/>
      <c r="S6" s="566"/>
      <c r="T6" s="566" t="s">
        <v>44</v>
      </c>
      <c r="U6" s="566"/>
      <c r="V6" s="566"/>
      <c r="W6" s="566" t="s">
        <v>163</v>
      </c>
      <c r="X6" s="566"/>
      <c r="Y6" s="566"/>
      <c r="Z6" s="566" t="s">
        <v>51</v>
      </c>
      <c r="AA6" s="566" t="s">
        <v>1064</v>
      </c>
      <c r="AB6" s="571" t="s">
        <v>158</v>
      </c>
      <c r="AC6" s="571" t="s">
        <v>43</v>
      </c>
      <c r="AD6" s="571" t="s">
        <v>44</v>
      </c>
      <c r="AE6" s="571" t="s">
        <v>163</v>
      </c>
      <c r="AF6" s="571" t="s">
        <v>51</v>
      </c>
      <c r="AG6" s="566" t="s">
        <v>1064</v>
      </c>
    </row>
    <row r="7" spans="1:33">
      <c r="A7" s="566"/>
      <c r="B7" s="572"/>
      <c r="C7" s="566"/>
      <c r="D7" s="566" t="s">
        <v>158</v>
      </c>
      <c r="E7" s="566" t="s">
        <v>164</v>
      </c>
      <c r="F7" s="566"/>
      <c r="G7" s="566" t="s">
        <v>158</v>
      </c>
      <c r="H7" s="566" t="s">
        <v>164</v>
      </c>
      <c r="I7" s="566"/>
      <c r="J7" s="572"/>
      <c r="K7" s="566" t="s">
        <v>158</v>
      </c>
      <c r="L7" s="566" t="s">
        <v>164</v>
      </c>
      <c r="M7" s="566"/>
      <c r="N7" s="566"/>
      <c r="O7" s="566"/>
      <c r="P7" s="566"/>
      <c r="Q7" s="566" t="s">
        <v>158</v>
      </c>
      <c r="R7" s="566" t="s">
        <v>164</v>
      </c>
      <c r="S7" s="566"/>
      <c r="T7" s="566" t="s">
        <v>158</v>
      </c>
      <c r="U7" s="566" t="s">
        <v>164</v>
      </c>
      <c r="V7" s="566"/>
      <c r="W7" s="566" t="s">
        <v>158</v>
      </c>
      <c r="X7" s="566" t="s">
        <v>164</v>
      </c>
      <c r="Y7" s="566"/>
      <c r="Z7" s="566"/>
      <c r="AA7" s="566"/>
      <c r="AB7" s="572"/>
      <c r="AC7" s="572"/>
      <c r="AD7" s="572"/>
      <c r="AE7" s="572"/>
      <c r="AF7" s="572"/>
      <c r="AG7" s="566"/>
    </row>
    <row r="8" spans="1:33" ht="108.75" customHeight="1">
      <c r="A8" s="566"/>
      <c r="B8" s="573"/>
      <c r="C8" s="566"/>
      <c r="D8" s="566"/>
      <c r="E8" s="416" t="s">
        <v>165</v>
      </c>
      <c r="F8" s="416" t="s">
        <v>166</v>
      </c>
      <c r="G8" s="566"/>
      <c r="H8" s="416" t="s">
        <v>165</v>
      </c>
      <c r="I8" s="416" t="s">
        <v>166</v>
      </c>
      <c r="J8" s="573"/>
      <c r="K8" s="566"/>
      <c r="L8" s="416" t="s">
        <v>43</v>
      </c>
      <c r="M8" s="416" t="s">
        <v>44</v>
      </c>
      <c r="N8" s="566"/>
      <c r="O8" s="566"/>
      <c r="P8" s="566"/>
      <c r="Q8" s="566"/>
      <c r="R8" s="416" t="s">
        <v>165</v>
      </c>
      <c r="S8" s="416" t="s">
        <v>166</v>
      </c>
      <c r="T8" s="566"/>
      <c r="U8" s="416" t="s">
        <v>165</v>
      </c>
      <c r="V8" s="416" t="s">
        <v>166</v>
      </c>
      <c r="W8" s="566"/>
      <c r="X8" s="416" t="s">
        <v>43</v>
      </c>
      <c r="Y8" s="416" t="s">
        <v>44</v>
      </c>
      <c r="Z8" s="566"/>
      <c r="AA8" s="566"/>
      <c r="AB8" s="573"/>
      <c r="AC8" s="573"/>
      <c r="AD8" s="573"/>
      <c r="AE8" s="573"/>
      <c r="AF8" s="573"/>
      <c r="AG8" s="566"/>
    </row>
    <row r="9" spans="1:33">
      <c r="A9" s="416" t="s">
        <v>23</v>
      </c>
      <c r="B9" s="416" t="s">
        <v>24</v>
      </c>
      <c r="C9" s="416">
        <v>1</v>
      </c>
      <c r="D9" s="416">
        <v>2</v>
      </c>
      <c r="E9" s="416">
        <v>3</v>
      </c>
      <c r="F9" s="416">
        <v>4</v>
      </c>
      <c r="G9" s="416">
        <v>5</v>
      </c>
      <c r="H9" s="416">
        <v>6</v>
      </c>
      <c r="I9" s="416">
        <v>7</v>
      </c>
      <c r="J9" s="416">
        <v>8</v>
      </c>
      <c r="K9" s="416">
        <v>9</v>
      </c>
      <c r="L9" s="416">
        <v>10</v>
      </c>
      <c r="M9" s="416">
        <v>11</v>
      </c>
      <c r="N9" s="416">
        <v>12</v>
      </c>
      <c r="O9" s="416">
        <v>13</v>
      </c>
      <c r="P9" s="416">
        <v>14</v>
      </c>
      <c r="Q9" s="416">
        <v>15</v>
      </c>
      <c r="R9" s="416">
        <v>16</v>
      </c>
      <c r="S9" s="416">
        <v>17</v>
      </c>
      <c r="T9" s="416">
        <v>18</v>
      </c>
      <c r="U9" s="416">
        <v>19</v>
      </c>
      <c r="V9" s="416">
        <v>20</v>
      </c>
      <c r="W9" s="416">
        <v>21</v>
      </c>
      <c r="X9" s="416">
        <v>22</v>
      </c>
      <c r="Y9" s="416">
        <v>23</v>
      </c>
      <c r="Z9" s="416">
        <v>24</v>
      </c>
      <c r="AA9" s="416">
        <v>25</v>
      </c>
      <c r="AB9" s="416">
        <v>26</v>
      </c>
      <c r="AC9" s="416">
        <v>27</v>
      </c>
      <c r="AD9" s="416">
        <v>28</v>
      </c>
      <c r="AE9" s="416">
        <v>29</v>
      </c>
      <c r="AF9" s="416">
        <v>30</v>
      </c>
      <c r="AG9" s="416">
        <v>31</v>
      </c>
    </row>
    <row r="10" spans="1:33" s="231" customFormat="1" ht="21.75" customHeight="1">
      <c r="A10" s="204"/>
      <c r="B10" s="204" t="s">
        <v>160</v>
      </c>
      <c r="C10" s="255">
        <f>SUM(C11:C20)</f>
        <v>3805613.74</v>
      </c>
      <c r="D10" s="255">
        <f t="shared" ref="D10:Z10" si="0">SUM(D11:D20)</f>
        <v>329783</v>
      </c>
      <c r="E10" s="255">
        <f t="shared" si="0"/>
        <v>55071.662280999997</v>
      </c>
      <c r="F10" s="255">
        <f t="shared" si="0"/>
        <v>0</v>
      </c>
      <c r="G10" s="255">
        <f>SUM(G11:G20)</f>
        <v>2913025.74</v>
      </c>
      <c r="H10" s="255">
        <f t="shared" si="0"/>
        <v>1548417</v>
      </c>
      <c r="I10" s="255">
        <f t="shared" si="0"/>
        <v>1500</v>
      </c>
      <c r="J10" s="255">
        <f t="shared" si="0"/>
        <v>58685</v>
      </c>
      <c r="K10" s="205">
        <f>SUM(K11:K20)</f>
        <v>504120</v>
      </c>
      <c r="L10" s="205">
        <f t="shared" si="0"/>
        <v>369300</v>
      </c>
      <c r="M10" s="205">
        <f t="shared" si="0"/>
        <v>134820</v>
      </c>
      <c r="N10" s="205">
        <f t="shared" si="0"/>
        <v>0</v>
      </c>
      <c r="O10" s="205">
        <v>0</v>
      </c>
      <c r="P10" s="205">
        <f>SUM(P11:P20)</f>
        <v>5088509.3917120006</v>
      </c>
      <c r="Q10" s="205">
        <f>SUM(Q11:Q20)</f>
        <v>702160.48478199996</v>
      </c>
      <c r="R10" s="205">
        <f t="shared" si="0"/>
        <v>112899.289041</v>
      </c>
      <c r="S10" s="205">
        <f t="shared" si="0"/>
        <v>2.2189999999999999</v>
      </c>
      <c r="T10" s="205">
        <f t="shared" si="0"/>
        <v>3104727.2150399997</v>
      </c>
      <c r="U10" s="205">
        <f t="shared" si="0"/>
        <v>1633938.2727609999</v>
      </c>
      <c r="V10" s="205">
        <f t="shared" si="0"/>
        <v>1336.8004800000001</v>
      </c>
      <c r="W10" s="205">
        <f t="shared" si="0"/>
        <v>524223.47739700001</v>
      </c>
      <c r="X10" s="205">
        <f t="shared" si="0"/>
        <v>395401.492654</v>
      </c>
      <c r="Y10" s="205">
        <f t="shared" si="0"/>
        <v>128821.98474299999</v>
      </c>
      <c r="Z10" s="205">
        <f t="shared" si="0"/>
        <v>732479.09819799976</v>
      </c>
      <c r="AA10" s="205">
        <f>SUM(AA11:AA20)</f>
        <v>24919.116295000003</v>
      </c>
      <c r="AB10" s="256">
        <f t="shared" ref="AB10" si="1">P10/C10*100</f>
        <v>133.71061120123034</v>
      </c>
      <c r="AC10" s="256">
        <f t="shared" ref="AC10" si="2">Q10/D10*100</f>
        <v>212.91591282206781</v>
      </c>
      <c r="AD10" s="256">
        <f t="shared" ref="AD10" si="3">T10/G10*100</f>
        <v>106.58083697674429</v>
      </c>
      <c r="AE10" s="256">
        <f t="shared" ref="AE10" si="4">W10/K10*100</f>
        <v>103.98783571312387</v>
      </c>
      <c r="AF10" s="237"/>
      <c r="AG10" s="237"/>
    </row>
    <row r="11" spans="1:33" ht="21.75" customHeight="1">
      <c r="A11" s="207">
        <v>1</v>
      </c>
      <c r="B11" s="208" t="s">
        <v>656</v>
      </c>
      <c r="C11" s="209">
        <f>D11+G11+K11+J11</f>
        <v>675541</v>
      </c>
      <c r="D11" s="209">
        <f>64810+20932</f>
        <v>85742</v>
      </c>
      <c r="E11" s="101">
        <v>33909</v>
      </c>
      <c r="F11" s="245"/>
      <c r="G11" s="209">
        <f>540894+10710+15641</f>
        <v>567245</v>
      </c>
      <c r="H11" s="209">
        <v>302122</v>
      </c>
      <c r="I11" s="209">
        <v>150</v>
      </c>
      <c r="J11" s="209">
        <v>12350</v>
      </c>
      <c r="K11" s="101">
        <f>L11+M11</f>
        <v>10204</v>
      </c>
      <c r="L11" s="101">
        <v>5077</v>
      </c>
      <c r="M11" s="101">
        <v>5127</v>
      </c>
      <c r="N11" s="209"/>
      <c r="O11" s="355"/>
      <c r="P11" s="101">
        <f>Q11+T11+W11+Z11+AA11</f>
        <v>933328.48915300006</v>
      </c>
      <c r="Q11" s="101">
        <v>185387.13413799999</v>
      </c>
      <c r="R11" s="101">
        <v>65807.472221999997</v>
      </c>
      <c r="S11" s="101">
        <v>0</v>
      </c>
      <c r="T11" s="101">
        <f>599307.269438-Y11</f>
        <v>595560.15622400003</v>
      </c>
      <c r="U11" s="101">
        <v>311061.71427499998</v>
      </c>
      <c r="V11" s="101">
        <v>168.98</v>
      </c>
      <c r="W11" s="101">
        <f>X11+Y11</f>
        <v>8610.3853510000008</v>
      </c>
      <c r="X11" s="101">
        <v>4863.2721369999999</v>
      </c>
      <c r="Y11" s="101">
        <v>3747.113214</v>
      </c>
      <c r="Z11" s="101">
        <v>141192.41344</v>
      </c>
      <c r="AA11" s="368">
        <f>2578.4</f>
        <v>2578.4</v>
      </c>
      <c r="AB11" s="410">
        <f>P11/C11</f>
        <v>1.381601544766343</v>
      </c>
      <c r="AC11" s="410">
        <f>Q11/D11</f>
        <v>2.1621508028504115</v>
      </c>
      <c r="AD11" s="410">
        <f>T11/G11</f>
        <v>1.049916978067678</v>
      </c>
      <c r="AE11" s="410">
        <f>W11/K11</f>
        <v>0.84382451499412003</v>
      </c>
      <c r="AF11" s="246"/>
      <c r="AG11" s="246"/>
    </row>
    <row r="12" spans="1:33" ht="21.75" customHeight="1">
      <c r="A12" s="207">
        <v>2</v>
      </c>
      <c r="B12" s="208" t="s">
        <v>657</v>
      </c>
      <c r="C12" s="209">
        <f t="shared" ref="C12:C20" si="5">D12+G12+K12+J12</f>
        <v>428013</v>
      </c>
      <c r="D12" s="209">
        <f>29025+15577</f>
        <v>44602</v>
      </c>
      <c r="E12" s="101">
        <v>815</v>
      </c>
      <c r="F12" s="245"/>
      <c r="G12" s="209">
        <f>315214+14622+19146</f>
        <v>348982</v>
      </c>
      <c r="H12" s="209">
        <v>201498</v>
      </c>
      <c r="I12" s="209">
        <v>150</v>
      </c>
      <c r="J12" s="209">
        <v>7010</v>
      </c>
      <c r="K12" s="101">
        <f t="shared" ref="K12:K20" si="6">L12+M12</f>
        <v>27419</v>
      </c>
      <c r="L12" s="101">
        <v>19244</v>
      </c>
      <c r="M12" s="101">
        <v>8175</v>
      </c>
      <c r="N12" s="209"/>
      <c r="O12" s="355"/>
      <c r="P12" s="101">
        <f t="shared" ref="P12:P19" si="7">Q12+T12+W12+Z12+AA12</f>
        <v>542822.30730400002</v>
      </c>
      <c r="Q12" s="175">
        <f>87173.557639-X12</f>
        <v>66067.788509000005</v>
      </c>
      <c r="R12" s="175">
        <v>1921.0986990000001</v>
      </c>
      <c r="S12" s="175">
        <v>0</v>
      </c>
      <c r="T12" s="175">
        <f>382989.237106-Y12</f>
        <v>375275.317148</v>
      </c>
      <c r="U12" s="175">
        <v>221513.246855</v>
      </c>
      <c r="V12" s="175"/>
      <c r="W12" s="101">
        <f t="shared" ref="W12:W20" si="8">X12+Y12</f>
        <v>28819.689087999999</v>
      </c>
      <c r="X12" s="175">
        <v>21105.769130000001</v>
      </c>
      <c r="Y12" s="175">
        <v>7713.9199580000004</v>
      </c>
      <c r="Z12" s="175">
        <v>72536.512558999995</v>
      </c>
      <c r="AA12" s="369">
        <f>123</f>
        <v>123</v>
      </c>
      <c r="AB12" s="410">
        <f t="shared" ref="AB12:AB19" si="9">P12/C12</f>
        <v>1.2682378976900235</v>
      </c>
      <c r="AC12" s="410">
        <f t="shared" ref="AC12:AC19" si="10">Q12/D12</f>
        <v>1.4812741246805077</v>
      </c>
      <c r="AD12" s="410">
        <f t="shared" ref="AD12:AD19" si="11">T12/G12</f>
        <v>1.0753429034964554</v>
      </c>
      <c r="AE12" s="410">
        <f t="shared" ref="AE12:AE19" si="12">W12/K12</f>
        <v>1.0510846160691492</v>
      </c>
      <c r="AF12" s="180"/>
      <c r="AG12" s="180"/>
    </row>
    <row r="13" spans="1:33" ht="21.75" customHeight="1">
      <c r="A13" s="207">
        <v>3</v>
      </c>
      <c r="B13" s="208" t="s">
        <v>658</v>
      </c>
      <c r="C13" s="209">
        <f t="shared" si="5"/>
        <v>313400</v>
      </c>
      <c r="D13" s="209">
        <f>10451+5482</f>
        <v>15933</v>
      </c>
      <c r="E13" s="101">
        <v>678</v>
      </c>
      <c r="F13" s="245"/>
      <c r="G13" s="209">
        <f>242926+8040+12743</f>
        <v>263709</v>
      </c>
      <c r="H13" s="209">
        <v>153482</v>
      </c>
      <c r="I13" s="209">
        <v>150</v>
      </c>
      <c r="J13" s="209">
        <v>5160</v>
      </c>
      <c r="K13" s="101">
        <f t="shared" si="6"/>
        <v>28598</v>
      </c>
      <c r="L13" s="101">
        <v>20869</v>
      </c>
      <c r="M13" s="101">
        <v>7729</v>
      </c>
      <c r="N13" s="209"/>
      <c r="O13" s="355"/>
      <c r="P13" s="101">
        <f t="shared" si="7"/>
        <v>431730.73521199997</v>
      </c>
      <c r="Q13" s="247">
        <f>75111.345094-X13</f>
        <v>53593.018000000004</v>
      </c>
      <c r="R13" s="247">
        <v>5853.9359999999997</v>
      </c>
      <c r="S13" s="247">
        <v>0</v>
      </c>
      <c r="T13" s="247">
        <f>287094.60517-Y13</f>
        <v>279400.530906</v>
      </c>
      <c r="U13" s="247">
        <v>169080.39953299999</v>
      </c>
      <c r="V13" s="247">
        <v>150</v>
      </c>
      <c r="W13" s="101">
        <f t="shared" si="8"/>
        <v>29212.401357999999</v>
      </c>
      <c r="X13" s="175">
        <v>21518.327094</v>
      </c>
      <c r="Y13" s="175">
        <v>7694.0742639999999</v>
      </c>
      <c r="Z13" s="247">
        <v>66961.784948</v>
      </c>
      <c r="AA13" s="370">
        <f>2563</f>
        <v>2563</v>
      </c>
      <c r="AB13" s="410">
        <f t="shared" si="9"/>
        <v>1.3775709483471601</v>
      </c>
      <c r="AC13" s="410">
        <f t="shared" si="10"/>
        <v>3.3636489047888034</v>
      </c>
      <c r="AD13" s="410">
        <f t="shared" si="11"/>
        <v>1.0595032058291527</v>
      </c>
      <c r="AE13" s="410">
        <f t="shared" si="12"/>
        <v>1.0214840673473669</v>
      </c>
      <c r="AF13" s="246"/>
      <c r="AG13" s="246"/>
    </row>
    <row r="14" spans="1:33" ht="21.75" customHeight="1">
      <c r="A14" s="207">
        <v>4</v>
      </c>
      <c r="B14" s="208" t="s">
        <v>659</v>
      </c>
      <c r="C14" s="209">
        <f t="shared" si="5"/>
        <v>360049.32</v>
      </c>
      <c r="D14" s="209">
        <f>33124+20463</f>
        <v>53587</v>
      </c>
      <c r="E14" s="101">
        <v>7695</v>
      </c>
      <c r="F14" s="245"/>
      <c r="G14" s="209">
        <f>249585+5355+5638.32</f>
        <v>260578.32</v>
      </c>
      <c r="H14" s="209">
        <v>149413</v>
      </c>
      <c r="I14" s="209">
        <v>150</v>
      </c>
      <c r="J14" s="209">
        <v>5780</v>
      </c>
      <c r="K14" s="101">
        <f t="shared" si="6"/>
        <v>40104</v>
      </c>
      <c r="L14" s="101">
        <v>29837</v>
      </c>
      <c r="M14" s="101">
        <v>10267</v>
      </c>
      <c r="N14" s="209"/>
      <c r="O14" s="355"/>
      <c r="P14" s="101">
        <f t="shared" si="7"/>
        <v>464975.69969800004</v>
      </c>
      <c r="Q14" s="209">
        <f>76250.373898-X14</f>
        <v>46364.082195000003</v>
      </c>
      <c r="R14" s="209">
        <v>8931.8389999999999</v>
      </c>
      <c r="S14" s="209">
        <v>0</v>
      </c>
      <c r="T14" s="209">
        <f>298144.552579-Y14</f>
        <v>288220.74157900002</v>
      </c>
      <c r="U14" s="209">
        <v>140265.82976299999</v>
      </c>
      <c r="V14" s="209">
        <v>150</v>
      </c>
      <c r="W14" s="101">
        <f t="shared" si="8"/>
        <v>39810.102703000004</v>
      </c>
      <c r="X14" s="175">
        <v>29886.291703000003</v>
      </c>
      <c r="Y14" s="175">
        <v>9923.8109999999997</v>
      </c>
      <c r="Z14" s="209">
        <v>85619.473220999993</v>
      </c>
      <c r="AA14" s="355">
        <f>4961.3</f>
        <v>4961.3</v>
      </c>
      <c r="AB14" s="410">
        <f t="shared" si="9"/>
        <v>1.2914222409807634</v>
      </c>
      <c r="AC14" s="410">
        <f t="shared" si="10"/>
        <v>0.86521137953234928</v>
      </c>
      <c r="AD14" s="410">
        <f t="shared" si="11"/>
        <v>1.1060810491793793</v>
      </c>
      <c r="AE14" s="410">
        <f t="shared" si="12"/>
        <v>0.99267162135946552</v>
      </c>
      <c r="AF14" s="246"/>
      <c r="AG14" s="246"/>
    </row>
    <row r="15" spans="1:33" ht="21.75" customHeight="1">
      <c r="A15" s="207">
        <v>5</v>
      </c>
      <c r="B15" s="208" t="s">
        <v>660</v>
      </c>
      <c r="C15" s="209">
        <f t="shared" si="5"/>
        <v>414039</v>
      </c>
      <c r="D15" s="209">
        <f>13310+8869</f>
        <v>22179</v>
      </c>
      <c r="E15" s="101">
        <v>1370</v>
      </c>
      <c r="F15" s="245"/>
      <c r="G15" s="209">
        <f>273824+14517+20776</f>
        <v>309117</v>
      </c>
      <c r="H15" s="209">
        <v>162362</v>
      </c>
      <c r="I15" s="209">
        <v>150</v>
      </c>
      <c r="J15" s="209">
        <v>5860</v>
      </c>
      <c r="K15" s="101">
        <f t="shared" si="6"/>
        <v>76883</v>
      </c>
      <c r="L15" s="101">
        <v>60939</v>
      </c>
      <c r="M15" s="101">
        <v>15944</v>
      </c>
      <c r="N15" s="209"/>
      <c r="O15" s="355"/>
      <c r="P15" s="101">
        <f t="shared" si="7"/>
        <v>542191.51118699997</v>
      </c>
      <c r="Q15" s="101">
        <v>44958.590144000002</v>
      </c>
      <c r="R15" s="101">
        <v>4576.8297490000004</v>
      </c>
      <c r="S15" s="101">
        <v>2.2189999999999999</v>
      </c>
      <c r="T15" s="101">
        <v>332535.423648</v>
      </c>
      <c r="U15" s="101">
        <v>173125.44385000001</v>
      </c>
      <c r="V15" s="101">
        <v>134.16999999999999</v>
      </c>
      <c r="W15" s="101">
        <f t="shared" si="8"/>
        <v>83283.560062999997</v>
      </c>
      <c r="X15" s="175">
        <v>68046.767533999999</v>
      </c>
      <c r="Y15" s="175">
        <v>15236.792529</v>
      </c>
      <c r="Z15" s="101">
        <v>77377.737332000004</v>
      </c>
      <c r="AA15" s="368">
        <f>4036.2</f>
        <v>4036.2</v>
      </c>
      <c r="AB15" s="410">
        <f t="shared" si="9"/>
        <v>1.3095179709809945</v>
      </c>
      <c r="AC15" s="410">
        <f t="shared" si="10"/>
        <v>2.0270792255737411</v>
      </c>
      <c r="AD15" s="410">
        <f t="shared" si="11"/>
        <v>1.0757590933141821</v>
      </c>
      <c r="AE15" s="410">
        <f t="shared" si="12"/>
        <v>1.0832506544099476</v>
      </c>
      <c r="AF15" s="246"/>
      <c r="AG15" s="246"/>
    </row>
    <row r="16" spans="1:33" ht="21.75" customHeight="1">
      <c r="A16" s="207">
        <v>6</v>
      </c>
      <c r="B16" s="208" t="s">
        <v>661</v>
      </c>
      <c r="C16" s="209">
        <f t="shared" si="5"/>
        <v>392906</v>
      </c>
      <c r="D16" s="209">
        <f>11792+3596</f>
        <v>15388</v>
      </c>
      <c r="E16" s="101">
        <v>6306</v>
      </c>
      <c r="F16" s="245"/>
      <c r="G16" s="209">
        <f>268525+14477+20391</f>
        <v>303393</v>
      </c>
      <c r="H16" s="209">
        <v>158289</v>
      </c>
      <c r="I16" s="209">
        <v>150</v>
      </c>
      <c r="J16" s="209">
        <v>5720</v>
      </c>
      <c r="K16" s="101">
        <f t="shared" si="6"/>
        <v>68405</v>
      </c>
      <c r="L16" s="101">
        <v>53461</v>
      </c>
      <c r="M16" s="101">
        <v>14944</v>
      </c>
      <c r="N16" s="209"/>
      <c r="O16" s="355"/>
      <c r="P16" s="101">
        <f t="shared" si="7"/>
        <v>574957.81724699994</v>
      </c>
      <c r="Q16" s="176">
        <v>85677.613349000007</v>
      </c>
      <c r="R16" s="176">
        <v>21521.842000000001</v>
      </c>
      <c r="S16" s="176">
        <v>0</v>
      </c>
      <c r="T16" s="177">
        <v>321723.75239899999</v>
      </c>
      <c r="U16" s="176">
        <v>172688.095371</v>
      </c>
      <c r="V16" s="176">
        <v>149.75648000000001</v>
      </c>
      <c r="W16" s="101">
        <f t="shared" si="8"/>
        <v>68203.261205000003</v>
      </c>
      <c r="X16" s="175">
        <v>53786.147454999998</v>
      </c>
      <c r="Y16" s="175">
        <v>14417.11375</v>
      </c>
      <c r="Z16" s="176">
        <v>98504.590293999994</v>
      </c>
      <c r="AA16" s="371">
        <f>848.6</f>
        <v>848.6</v>
      </c>
      <c r="AB16" s="410">
        <f t="shared" si="9"/>
        <v>1.4633470022015442</v>
      </c>
      <c r="AC16" s="410">
        <f t="shared" si="10"/>
        <v>5.567819947296595</v>
      </c>
      <c r="AD16" s="410">
        <f t="shared" si="11"/>
        <v>1.0604191672154597</v>
      </c>
      <c r="AE16" s="410">
        <f t="shared" si="12"/>
        <v>0.99705081799576056</v>
      </c>
      <c r="AF16" s="246"/>
      <c r="AG16" s="246"/>
    </row>
    <row r="17" spans="1:33" ht="21.75" customHeight="1">
      <c r="A17" s="207">
        <v>7</v>
      </c>
      <c r="B17" s="208" t="s">
        <v>662</v>
      </c>
      <c r="C17" s="209">
        <f t="shared" si="5"/>
        <v>152756.42000000001</v>
      </c>
      <c r="D17" s="209">
        <f>8566+8291</f>
        <v>16857</v>
      </c>
      <c r="E17" s="101">
        <v>346</v>
      </c>
      <c r="F17" s="245"/>
      <c r="G17" s="209">
        <f>75939.1+6278+6277.32</f>
        <v>88494.420000000013</v>
      </c>
      <c r="H17" s="209">
        <v>32161</v>
      </c>
      <c r="I17" s="209">
        <v>150</v>
      </c>
      <c r="J17" s="209">
        <v>1725</v>
      </c>
      <c r="K17" s="101">
        <f t="shared" si="6"/>
        <v>45680</v>
      </c>
      <c r="L17" s="101">
        <v>34104</v>
      </c>
      <c r="M17" s="101">
        <v>11576</v>
      </c>
      <c r="N17" s="209"/>
      <c r="O17" s="355"/>
      <c r="P17" s="101">
        <f t="shared" si="7"/>
        <v>303394.40879899997</v>
      </c>
      <c r="Q17" s="178">
        <v>72177.691669000007</v>
      </c>
      <c r="R17" s="178">
        <v>351</v>
      </c>
      <c r="S17" s="178">
        <v>0</v>
      </c>
      <c r="T17" s="175">
        <v>98850.494865000001</v>
      </c>
      <c r="U17" s="178">
        <v>35925.173473000003</v>
      </c>
      <c r="V17" s="178">
        <v>148.898</v>
      </c>
      <c r="W17" s="101">
        <f t="shared" si="8"/>
        <v>44448.711037000001</v>
      </c>
      <c r="X17" s="175">
        <v>33584.603679</v>
      </c>
      <c r="Y17" s="175">
        <v>10864.107357999999</v>
      </c>
      <c r="Z17" s="179">
        <v>84590.881687999994</v>
      </c>
      <c r="AA17" s="372">
        <f>3326629540/1000000</f>
        <v>3326.6295399999999</v>
      </c>
      <c r="AB17" s="410">
        <f t="shared" si="9"/>
        <v>1.9861319661654806</v>
      </c>
      <c r="AC17" s="410">
        <f t="shared" si="10"/>
        <v>4.2817637580233736</v>
      </c>
      <c r="AD17" s="410">
        <f t="shared" si="11"/>
        <v>1.1170251736211163</v>
      </c>
      <c r="AE17" s="410">
        <f t="shared" si="12"/>
        <v>0.97304533793782844</v>
      </c>
      <c r="AF17" s="246"/>
      <c r="AG17" s="246"/>
    </row>
    <row r="18" spans="1:33" ht="21.75" customHeight="1">
      <c r="A18" s="207">
        <v>8</v>
      </c>
      <c r="B18" s="208" t="s">
        <v>613</v>
      </c>
      <c r="C18" s="209">
        <f t="shared" si="5"/>
        <v>270705</v>
      </c>
      <c r="D18" s="209">
        <f>6077+15417</f>
        <v>21494</v>
      </c>
      <c r="E18" s="101">
        <v>519.70828100000006</v>
      </c>
      <c r="F18" s="245"/>
      <c r="G18" s="209">
        <f>189239+11924+12037</f>
        <v>213200</v>
      </c>
      <c r="H18" s="209">
        <v>108319</v>
      </c>
      <c r="I18" s="209">
        <v>150</v>
      </c>
      <c r="J18" s="209">
        <v>3990</v>
      </c>
      <c r="K18" s="101">
        <f t="shared" si="6"/>
        <v>32021</v>
      </c>
      <c r="L18" s="101">
        <v>23560</v>
      </c>
      <c r="M18" s="101">
        <v>8461</v>
      </c>
      <c r="N18" s="209"/>
      <c r="O18" s="355"/>
      <c r="P18" s="101">
        <f t="shared" si="7"/>
        <v>324569.37037600006</v>
      </c>
      <c r="Q18" s="101">
        <v>29049.722149000001</v>
      </c>
      <c r="R18" s="101">
        <v>507.56737099999998</v>
      </c>
      <c r="S18" s="248">
        <v>0</v>
      </c>
      <c r="T18" s="101">
        <v>228954.70315399999</v>
      </c>
      <c r="U18" s="101">
        <v>119505.026742</v>
      </c>
      <c r="V18" s="246">
        <v>135</v>
      </c>
      <c r="W18" s="101">
        <f t="shared" si="8"/>
        <v>32091.530073000002</v>
      </c>
      <c r="X18" s="175">
        <v>23749.823922</v>
      </c>
      <c r="Y18" s="175">
        <v>8341.7061510000003</v>
      </c>
      <c r="Z18" s="101">
        <v>32006.2</v>
      </c>
      <c r="AA18" s="355">
        <f>2467215000/1000000</f>
        <v>2467.2150000000001</v>
      </c>
      <c r="AB18" s="410">
        <f t="shared" si="9"/>
        <v>1.1989781140946789</v>
      </c>
      <c r="AC18" s="410">
        <f t="shared" si="10"/>
        <v>1.3515270377314601</v>
      </c>
      <c r="AD18" s="410">
        <f t="shared" si="11"/>
        <v>1.0738963562570356</v>
      </c>
      <c r="AE18" s="410">
        <f t="shared" si="12"/>
        <v>1.0022026193123263</v>
      </c>
      <c r="AF18" s="246"/>
      <c r="AG18" s="246"/>
    </row>
    <row r="19" spans="1:33" ht="21.75" customHeight="1">
      <c r="A19" s="207">
        <v>9</v>
      </c>
      <c r="B19" s="208" t="s">
        <v>663</v>
      </c>
      <c r="C19" s="209">
        <f t="shared" si="5"/>
        <v>379181</v>
      </c>
      <c r="D19" s="209">
        <f>20823+7695</f>
        <v>28518</v>
      </c>
      <c r="E19" s="101">
        <v>747</v>
      </c>
      <c r="F19" s="245"/>
      <c r="G19" s="209">
        <f>260427+11964+11179</f>
        <v>283570</v>
      </c>
      <c r="H19" s="209">
        <v>130137</v>
      </c>
      <c r="I19" s="209">
        <v>150</v>
      </c>
      <c r="J19" s="209">
        <v>5750</v>
      </c>
      <c r="K19" s="101">
        <f t="shared" si="6"/>
        <v>61343</v>
      </c>
      <c r="L19" s="101">
        <v>38935</v>
      </c>
      <c r="M19" s="101">
        <v>22408</v>
      </c>
      <c r="N19" s="209"/>
      <c r="O19" s="355"/>
      <c r="P19" s="101">
        <f t="shared" si="7"/>
        <v>473522.28589900001</v>
      </c>
      <c r="Q19" s="175">
        <v>85734.294412000003</v>
      </c>
      <c r="R19" s="175">
        <v>746.75</v>
      </c>
      <c r="S19" s="175">
        <v>0</v>
      </c>
      <c r="T19" s="175">
        <v>287028.84099400003</v>
      </c>
      <c r="U19" s="175">
        <v>134120.03709</v>
      </c>
      <c r="V19" s="175">
        <v>150</v>
      </c>
      <c r="W19" s="101">
        <f t="shared" si="8"/>
        <v>65058.025999999998</v>
      </c>
      <c r="X19" s="175">
        <v>43733.773000000001</v>
      </c>
      <c r="Y19" s="175">
        <v>21324.253000000001</v>
      </c>
      <c r="Z19" s="175">
        <v>34206.124493000003</v>
      </c>
      <c r="AA19" s="369">
        <v>1495</v>
      </c>
      <c r="AB19" s="410">
        <f t="shared" si="9"/>
        <v>1.248802777298968</v>
      </c>
      <c r="AC19" s="410">
        <f t="shared" si="10"/>
        <v>3.0063221267971105</v>
      </c>
      <c r="AD19" s="410">
        <f t="shared" si="11"/>
        <v>1.0121974856084919</v>
      </c>
      <c r="AE19" s="410">
        <f t="shared" si="12"/>
        <v>1.060561531063039</v>
      </c>
      <c r="AF19" s="246"/>
      <c r="AG19" s="246"/>
    </row>
    <row r="20" spans="1:33" ht="21.75" customHeight="1">
      <c r="A20" s="211">
        <v>10</v>
      </c>
      <c r="B20" s="212" t="s">
        <v>664</v>
      </c>
      <c r="C20" s="214">
        <f t="shared" si="5"/>
        <v>419023</v>
      </c>
      <c r="D20" s="214">
        <f>7678+17805</f>
        <v>25483</v>
      </c>
      <c r="E20" s="213">
        <v>2685.9540000000002</v>
      </c>
      <c r="F20" s="249"/>
      <c r="G20" s="214">
        <f>253755+10660+10322</f>
        <v>274737</v>
      </c>
      <c r="H20" s="214">
        <v>150634</v>
      </c>
      <c r="I20" s="214">
        <v>150</v>
      </c>
      <c r="J20" s="214">
        <v>5340</v>
      </c>
      <c r="K20" s="213">
        <f t="shared" si="6"/>
        <v>113463</v>
      </c>
      <c r="L20" s="213">
        <f>83274</f>
        <v>83274</v>
      </c>
      <c r="M20" s="213">
        <v>30189</v>
      </c>
      <c r="N20" s="214"/>
      <c r="O20" s="214"/>
      <c r="P20" s="213">
        <f>Q20+T20+W20+Z20+AA20</f>
        <v>497016.76683700003</v>
      </c>
      <c r="Q20" s="250">
        <v>33150.550217000004</v>
      </c>
      <c r="R20" s="250">
        <v>2680.9540000000002</v>
      </c>
      <c r="S20" s="251">
        <v>0</v>
      </c>
      <c r="T20" s="181">
        <v>297177.25412300002</v>
      </c>
      <c r="U20" s="182">
        <v>156653.30580900001</v>
      </c>
      <c r="V20" s="252">
        <v>149.99600000000001</v>
      </c>
      <c r="W20" s="213">
        <f t="shared" si="8"/>
        <v>124685.81051900001</v>
      </c>
      <c r="X20" s="181">
        <v>95126.717000000004</v>
      </c>
      <c r="Y20" s="181">
        <v>29559.093518999998</v>
      </c>
      <c r="Z20" s="182">
        <v>39483.380223</v>
      </c>
      <c r="AA20" s="182">
        <f>2519771755/1000000</f>
        <v>2519.7717550000002</v>
      </c>
      <c r="AB20" s="411">
        <f>P20/C20</f>
        <v>1.18613242432277</v>
      </c>
      <c r="AC20" s="411">
        <f>Q20/D20</f>
        <v>1.3008888363614961</v>
      </c>
      <c r="AD20" s="411">
        <f>T20/G20</f>
        <v>1.0816790389463378</v>
      </c>
      <c r="AE20" s="411">
        <f>W20/K20</f>
        <v>1.0989116321532131</v>
      </c>
      <c r="AF20" s="253"/>
      <c r="AG20" s="253"/>
    </row>
    <row r="21" spans="1:33" ht="17.25" customHeight="1">
      <c r="A21" s="257" t="s">
        <v>190</v>
      </c>
      <c r="P21" s="230"/>
      <c r="Q21" s="230"/>
      <c r="R21" s="230"/>
      <c r="S21" s="230"/>
      <c r="T21" s="230"/>
      <c r="U21" s="230"/>
      <c r="V21" s="230"/>
      <c r="W21" s="230"/>
      <c r="X21" s="230"/>
      <c r="Y21" s="230"/>
      <c r="Z21" s="230"/>
      <c r="AA21" s="230"/>
    </row>
    <row r="22" spans="1:33" ht="16.5" customHeight="1">
      <c r="A22" s="258" t="s">
        <v>167</v>
      </c>
      <c r="P22" s="259"/>
      <c r="Q22" s="259"/>
      <c r="R22" s="259"/>
      <c r="S22" s="259"/>
      <c r="T22" s="259"/>
      <c r="U22" s="259"/>
      <c r="V22" s="259"/>
      <c r="W22" s="259"/>
      <c r="X22" s="259"/>
      <c r="Y22" s="259"/>
      <c r="Z22" s="259"/>
      <c r="AA22" s="259"/>
    </row>
    <row r="23" spans="1:33" ht="20.25" customHeight="1">
      <c r="A23" s="258" t="s">
        <v>168</v>
      </c>
      <c r="T23" s="230"/>
      <c r="U23" s="230"/>
      <c r="V23" s="230"/>
      <c r="W23" s="230"/>
    </row>
    <row r="24" spans="1:33">
      <c r="P24" s="230"/>
      <c r="Q24" s="230"/>
      <c r="R24" s="230"/>
      <c r="S24" s="230"/>
      <c r="T24" s="230"/>
      <c r="U24" s="230"/>
      <c r="V24" s="230"/>
      <c r="W24" s="230"/>
      <c r="X24" s="230"/>
      <c r="Y24" s="230"/>
      <c r="Z24" s="230"/>
      <c r="AA24" s="230"/>
      <c r="AB24" s="260"/>
    </row>
    <row r="25" spans="1:33" ht="33.75" customHeight="1">
      <c r="P25" s="230"/>
      <c r="Q25" s="230"/>
      <c r="R25" s="230"/>
      <c r="S25" s="230"/>
      <c r="T25" s="230"/>
    </row>
    <row r="26" spans="1:33">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row>
  </sheetData>
  <mergeCells count="40">
    <mergeCell ref="C5:O5"/>
    <mergeCell ref="AA6:AA8"/>
    <mergeCell ref="P5:AA5"/>
    <mergeCell ref="AC6:AC8"/>
    <mergeCell ref="AD6:AD8"/>
    <mergeCell ref="T7:T8"/>
    <mergeCell ref="U7:V7"/>
    <mergeCell ref="P6:P8"/>
    <mergeCell ref="D7:D8"/>
    <mergeCell ref="E7:F7"/>
    <mergeCell ref="G7:G8"/>
    <mergeCell ref="H7:I7"/>
    <mergeCell ref="Q6:S6"/>
    <mergeCell ref="T6:V6"/>
    <mergeCell ref="W6:Y6"/>
    <mergeCell ref="K7:K8"/>
    <mergeCell ref="Z6:Z8"/>
    <mergeCell ref="AG6:AG8"/>
    <mergeCell ref="AB5:AG5"/>
    <mergeCell ref="AF6:AF8"/>
    <mergeCell ref="R7:S7"/>
    <mergeCell ref="W7:W8"/>
    <mergeCell ref="X7:Y7"/>
    <mergeCell ref="AB6:AB8"/>
    <mergeCell ref="Q7:Q8"/>
    <mergeCell ref="L7:M7"/>
    <mergeCell ref="O6:O8"/>
    <mergeCell ref="AE1:AF1"/>
    <mergeCell ref="A2:AF2"/>
    <mergeCell ref="A3:AF3"/>
    <mergeCell ref="AC4:AF4"/>
    <mergeCell ref="A5:A8"/>
    <mergeCell ref="B5:B8"/>
    <mergeCell ref="C6:C8"/>
    <mergeCell ref="D6:F6"/>
    <mergeCell ref="G6:I6"/>
    <mergeCell ref="J6:J8"/>
    <mergeCell ref="K6:M6"/>
    <mergeCell ref="N6:N8"/>
    <mergeCell ref="AE6:AE8"/>
  </mergeCells>
  <dataValidations count="1">
    <dataValidation allowBlank="1" showInputMessage="1" showErrorMessage="1" prompt="Lấy theo dự toán HĐND giao của từng huyện" sqref="E10" xr:uid="{00000000-0002-0000-0900-000000000000}"/>
  </dataValidations>
  <pageMargins left="0.70866141732283472" right="0.70866141732283472" top="0.74803149606299213" bottom="0.74803149606299213" header="0.31496062992125984" footer="0.31496062992125984"/>
  <pageSetup paperSize="9" scale="57" orientation="landscape" r:id="rId1"/>
  <colBreaks count="1" manualBreakCount="1">
    <brk id="2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B31"/>
  <sheetViews>
    <sheetView zoomScale="115" zoomScaleNormal="115" workbookViewId="0">
      <selection activeCell="I13" sqref="I13"/>
    </sheetView>
  </sheetViews>
  <sheetFormatPr defaultColWidth="9.125" defaultRowHeight="15"/>
  <cols>
    <col min="1" max="1" width="4" style="183" customWidth="1"/>
    <col min="2" max="2" width="18.125" style="183" customWidth="1"/>
    <col min="3" max="3" width="9.125" style="183"/>
    <col min="4" max="4" width="9.125" style="183" customWidth="1"/>
    <col min="5" max="5" width="8" style="183" customWidth="1"/>
    <col min="6" max="6" width="8.375" style="183" customWidth="1"/>
    <col min="7" max="7" width="8.25" style="183" customWidth="1"/>
    <col min="8" max="8" width="8.75" style="183" customWidth="1"/>
    <col min="9" max="9" width="8.875" style="183" customWidth="1"/>
    <col min="10" max="10" width="9.125" style="183" customWidth="1"/>
    <col min="11" max="11" width="9.125" style="183"/>
    <col min="12" max="12" width="10.125" style="183" customWidth="1"/>
    <col min="13" max="13" width="9.125" style="183" customWidth="1"/>
    <col min="14" max="14" width="8.875" style="183" customWidth="1"/>
    <col min="15" max="15" width="10" style="183" customWidth="1"/>
    <col min="16" max="18" width="9.125" style="183" customWidth="1"/>
    <col min="19" max="19" width="7.875" style="183" customWidth="1"/>
    <col min="20" max="20" width="7" style="183" customWidth="1"/>
    <col min="21" max="23" width="7.125" style="183" customWidth="1"/>
    <col min="24" max="24" width="8.25" style="183" customWidth="1"/>
    <col min="25" max="25" width="8.625" style="183" customWidth="1"/>
    <col min="26" max="26" width="7.25" style="183" customWidth="1"/>
    <col min="27" max="27" width="21.25" style="183" customWidth="1"/>
    <col min="28" max="16384" width="9.125" style="183"/>
  </cols>
  <sheetData>
    <row r="1" spans="1:28">
      <c r="B1" s="567"/>
      <c r="C1" s="567"/>
      <c r="D1" s="567"/>
      <c r="X1" s="567" t="s">
        <v>714</v>
      </c>
      <c r="Y1" s="567"/>
      <c r="Z1" s="567"/>
    </row>
    <row r="2" spans="1:28">
      <c r="A2" s="577" t="s">
        <v>872</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184"/>
    </row>
    <row r="3" spans="1:28">
      <c r="A3" s="578" t="s">
        <v>871</v>
      </c>
      <c r="B3" s="578"/>
      <c r="C3" s="578"/>
      <c r="D3" s="578"/>
      <c r="E3" s="578"/>
      <c r="F3" s="578"/>
      <c r="G3" s="578"/>
      <c r="H3" s="578"/>
      <c r="I3" s="578"/>
      <c r="J3" s="578"/>
      <c r="K3" s="578"/>
      <c r="L3" s="578"/>
      <c r="M3" s="578"/>
      <c r="N3" s="578"/>
      <c r="O3" s="578"/>
      <c r="P3" s="578"/>
      <c r="Q3" s="578"/>
      <c r="R3" s="578"/>
      <c r="S3" s="578"/>
      <c r="T3" s="578"/>
      <c r="U3" s="578"/>
      <c r="V3" s="578"/>
      <c r="W3" s="578"/>
      <c r="X3" s="578"/>
      <c r="Y3" s="578"/>
      <c r="Z3" s="578"/>
    </row>
    <row r="4" spans="1:28">
      <c r="P4" s="185"/>
      <c r="X4" s="579" t="s">
        <v>869</v>
      </c>
      <c r="Y4" s="579"/>
      <c r="Z4" s="579"/>
    </row>
    <row r="5" spans="1:28">
      <c r="A5" s="580" t="s">
        <v>16</v>
      </c>
      <c r="B5" s="580" t="s">
        <v>890</v>
      </c>
      <c r="C5" s="580" t="s">
        <v>18</v>
      </c>
      <c r="D5" s="580"/>
      <c r="E5" s="580"/>
      <c r="F5" s="580"/>
      <c r="G5" s="580"/>
      <c r="H5" s="580"/>
      <c r="I5" s="580"/>
      <c r="J5" s="580"/>
      <c r="K5" s="580" t="s">
        <v>19</v>
      </c>
      <c r="L5" s="580"/>
      <c r="M5" s="580"/>
      <c r="N5" s="580"/>
      <c r="O5" s="580"/>
      <c r="P5" s="580"/>
      <c r="Q5" s="580"/>
      <c r="R5" s="580"/>
      <c r="S5" s="580" t="s">
        <v>169</v>
      </c>
      <c r="T5" s="580"/>
      <c r="U5" s="580"/>
      <c r="V5" s="580"/>
      <c r="W5" s="580"/>
      <c r="X5" s="580"/>
      <c r="Y5" s="580"/>
      <c r="Z5" s="580"/>
    </row>
    <row r="6" spans="1:28">
      <c r="A6" s="580"/>
      <c r="B6" s="580"/>
      <c r="C6" s="580" t="s">
        <v>158</v>
      </c>
      <c r="D6" s="580" t="s">
        <v>170</v>
      </c>
      <c r="E6" s="580" t="s">
        <v>171</v>
      </c>
      <c r="F6" s="580"/>
      <c r="G6" s="580"/>
      <c r="H6" s="580"/>
      <c r="I6" s="580"/>
      <c r="J6" s="580"/>
      <c r="K6" s="580" t="s">
        <v>158</v>
      </c>
      <c r="L6" s="580" t="s">
        <v>170</v>
      </c>
      <c r="M6" s="580" t="s">
        <v>171</v>
      </c>
      <c r="N6" s="580"/>
      <c r="O6" s="580"/>
      <c r="P6" s="580"/>
      <c r="Q6" s="580"/>
      <c r="R6" s="580"/>
      <c r="S6" s="580" t="s">
        <v>158</v>
      </c>
      <c r="T6" s="580" t="s">
        <v>170</v>
      </c>
      <c r="U6" s="580" t="s">
        <v>171</v>
      </c>
      <c r="V6" s="580"/>
      <c r="W6" s="580"/>
      <c r="X6" s="580"/>
      <c r="Y6" s="580"/>
      <c r="Z6" s="580"/>
    </row>
    <row r="7" spans="1:28" ht="24" customHeight="1">
      <c r="A7" s="580"/>
      <c r="B7" s="580"/>
      <c r="C7" s="580"/>
      <c r="D7" s="580"/>
      <c r="E7" s="580" t="s">
        <v>158</v>
      </c>
      <c r="F7" s="580" t="s">
        <v>172</v>
      </c>
      <c r="G7" s="580"/>
      <c r="H7" s="580" t="s">
        <v>173</v>
      </c>
      <c r="I7" s="580" t="s">
        <v>174</v>
      </c>
      <c r="J7" s="580" t="s">
        <v>175</v>
      </c>
      <c r="K7" s="580"/>
      <c r="L7" s="580"/>
      <c r="M7" s="580" t="s">
        <v>158</v>
      </c>
      <c r="N7" s="580" t="s">
        <v>172</v>
      </c>
      <c r="O7" s="580"/>
      <c r="P7" s="581" t="s">
        <v>173</v>
      </c>
      <c r="Q7" s="580" t="s">
        <v>174</v>
      </c>
      <c r="R7" s="580" t="s">
        <v>175</v>
      </c>
      <c r="S7" s="580"/>
      <c r="T7" s="580"/>
      <c r="U7" s="580" t="s">
        <v>158</v>
      </c>
      <c r="V7" s="580" t="s">
        <v>172</v>
      </c>
      <c r="W7" s="580"/>
      <c r="X7" s="580" t="s">
        <v>173</v>
      </c>
      <c r="Y7" s="580" t="s">
        <v>174</v>
      </c>
      <c r="Z7" s="580" t="s">
        <v>175</v>
      </c>
    </row>
    <row r="8" spans="1:28" ht="19.5">
      <c r="A8" s="580"/>
      <c r="B8" s="580"/>
      <c r="C8" s="580"/>
      <c r="D8" s="580"/>
      <c r="E8" s="580"/>
      <c r="F8" s="186" t="s">
        <v>176</v>
      </c>
      <c r="G8" s="186" t="s">
        <v>177</v>
      </c>
      <c r="H8" s="580"/>
      <c r="I8" s="580"/>
      <c r="J8" s="580"/>
      <c r="K8" s="580"/>
      <c r="L8" s="580"/>
      <c r="M8" s="580"/>
      <c r="N8" s="186" t="s">
        <v>176</v>
      </c>
      <c r="O8" s="186" t="s">
        <v>177</v>
      </c>
      <c r="P8" s="582"/>
      <c r="Q8" s="580"/>
      <c r="R8" s="580"/>
      <c r="S8" s="580"/>
      <c r="T8" s="580"/>
      <c r="U8" s="580"/>
      <c r="V8" s="186" t="s">
        <v>176</v>
      </c>
      <c r="W8" s="186" t="s">
        <v>177</v>
      </c>
      <c r="X8" s="580"/>
      <c r="Y8" s="580"/>
      <c r="Z8" s="580"/>
    </row>
    <row r="9" spans="1:28">
      <c r="A9" s="186" t="s">
        <v>23</v>
      </c>
      <c r="B9" s="186" t="s">
        <v>24</v>
      </c>
      <c r="C9" s="186" t="s">
        <v>152</v>
      </c>
      <c r="D9" s="186">
        <v>2</v>
      </c>
      <c r="E9" s="186" t="s">
        <v>178</v>
      </c>
      <c r="F9" s="186">
        <v>4</v>
      </c>
      <c r="G9" s="186">
        <v>5</v>
      </c>
      <c r="H9" s="186">
        <v>6</v>
      </c>
      <c r="I9" s="186">
        <v>7</v>
      </c>
      <c r="J9" s="186">
        <v>8</v>
      </c>
      <c r="K9" s="186">
        <v>9</v>
      </c>
      <c r="L9" s="186">
        <v>10</v>
      </c>
      <c r="M9" s="186" t="s">
        <v>179</v>
      </c>
      <c r="N9" s="186">
        <v>12</v>
      </c>
      <c r="O9" s="186">
        <v>13</v>
      </c>
      <c r="P9" s="186">
        <v>14</v>
      </c>
      <c r="Q9" s="186">
        <v>15</v>
      </c>
      <c r="R9" s="186">
        <v>16</v>
      </c>
      <c r="S9" s="186" t="s">
        <v>180</v>
      </c>
      <c r="T9" s="186" t="s">
        <v>181</v>
      </c>
      <c r="U9" s="186" t="s">
        <v>182</v>
      </c>
      <c r="V9" s="186" t="s">
        <v>183</v>
      </c>
      <c r="W9" s="186" t="s">
        <v>184</v>
      </c>
      <c r="X9" s="186" t="s">
        <v>185</v>
      </c>
      <c r="Y9" s="186" t="s">
        <v>186</v>
      </c>
      <c r="Z9" s="186" t="s">
        <v>187</v>
      </c>
    </row>
    <row r="10" spans="1:28" ht="18" customHeight="1">
      <c r="A10" s="204"/>
      <c r="B10" s="204" t="s">
        <v>160</v>
      </c>
      <c r="C10" s="205">
        <f>D10+E10</f>
        <v>2882653.92</v>
      </c>
      <c r="D10" s="205">
        <f>SUM(D11:D20)</f>
        <v>2011709.4</v>
      </c>
      <c r="E10" s="205">
        <f>SUM(E11:E20)</f>
        <v>870944.52</v>
      </c>
      <c r="F10" s="205">
        <f t="shared" ref="F10:R10" si="0">SUM(F11:F20)</f>
        <v>186075</v>
      </c>
      <c r="G10" s="205">
        <f t="shared" si="0"/>
        <v>684869.52</v>
      </c>
      <c r="H10" s="205">
        <f t="shared" si="0"/>
        <v>124127</v>
      </c>
      <c r="I10" s="205">
        <f t="shared" si="0"/>
        <v>242697.52000000002</v>
      </c>
      <c r="J10" s="205">
        <f>SUM(J11:J20)</f>
        <v>504120</v>
      </c>
      <c r="K10" s="205">
        <f t="shared" si="0"/>
        <v>3298196.1259999997</v>
      </c>
      <c r="L10" s="205">
        <f t="shared" si="0"/>
        <v>2011709.4</v>
      </c>
      <c r="M10" s="205">
        <f>SUM(M11:M20)</f>
        <v>1286486.726</v>
      </c>
      <c r="N10" s="205">
        <f>SUM(N11:N20)</f>
        <v>186075</v>
      </c>
      <c r="O10" s="205">
        <f>SUM(O11:O20)</f>
        <v>1100411.726</v>
      </c>
      <c r="P10" s="205">
        <f t="shared" si="0"/>
        <v>210270.30799999999</v>
      </c>
      <c r="Q10" s="205">
        <f t="shared" si="0"/>
        <v>568916.41800000006</v>
      </c>
      <c r="R10" s="205">
        <f t="shared" si="0"/>
        <v>507300</v>
      </c>
      <c r="S10" s="206">
        <f t="shared" ref="S10:T20" si="1">K10/C10</f>
        <v>1.1441526515260632</v>
      </c>
      <c r="T10" s="206">
        <f t="shared" si="1"/>
        <v>1</v>
      </c>
      <c r="U10" s="407">
        <f t="shared" ref="U10:U20" si="2">M10/E10</f>
        <v>1.4771167352887185</v>
      </c>
      <c r="V10" s="407">
        <f>N10/F10</f>
        <v>1</v>
      </c>
      <c r="W10" s="407">
        <f>O10/G10</f>
        <v>1.6067465318065257</v>
      </c>
      <c r="X10" s="407">
        <f>P10/H10</f>
        <v>1.6939933133000877</v>
      </c>
      <c r="Y10" s="407">
        <f>Q10/I10</f>
        <v>2.3441377480907097</v>
      </c>
      <c r="Z10" s="407">
        <f>R10/J10</f>
        <v>1.0063080218995477</v>
      </c>
      <c r="AA10" s="185"/>
      <c r="AB10" s="185"/>
    </row>
    <row r="11" spans="1:28" ht="18" customHeight="1">
      <c r="A11" s="207">
        <v>1</v>
      </c>
      <c r="B11" s="208" t="s">
        <v>656</v>
      </c>
      <c r="C11" s="101">
        <f>D11+E11</f>
        <v>306706.60000000003</v>
      </c>
      <c r="D11" s="101">
        <v>249219.40000000002</v>
      </c>
      <c r="E11" s="101">
        <f>H11+I11+J11</f>
        <v>57487.199999999997</v>
      </c>
      <c r="F11" s="101">
        <v>3938</v>
      </c>
      <c r="G11" s="101">
        <f>E11-F11</f>
        <v>53549.2</v>
      </c>
      <c r="H11" s="101">
        <v>20932</v>
      </c>
      <c r="I11" s="101">
        <f>10710+15641+0.2</f>
        <v>26351.200000000001</v>
      </c>
      <c r="J11" s="101">
        <v>10204</v>
      </c>
      <c r="K11" s="209">
        <f t="shared" ref="K11:K16" si="3">L11+M11</f>
        <v>360120.66500000004</v>
      </c>
      <c r="L11" s="209">
        <f>D11</f>
        <v>249219.40000000002</v>
      </c>
      <c r="M11" s="209">
        <f>N11+O11</f>
        <v>110901.265</v>
      </c>
      <c r="N11" s="209">
        <v>3938</v>
      </c>
      <c r="O11" s="209">
        <v>106963.265</v>
      </c>
      <c r="P11" s="209">
        <v>33932</v>
      </c>
      <c r="Q11" s="209">
        <f>M11-P11-R11</f>
        <v>66415.264999999999</v>
      </c>
      <c r="R11" s="209">
        <v>10554</v>
      </c>
      <c r="S11" s="405">
        <f t="shared" si="1"/>
        <v>1.1741536210828198</v>
      </c>
      <c r="T11" s="405">
        <f t="shared" si="1"/>
        <v>1</v>
      </c>
      <c r="U11" s="408">
        <f t="shared" si="2"/>
        <v>1.9291470970929181</v>
      </c>
      <c r="V11" s="408">
        <f>N11/F11</f>
        <v>1</v>
      </c>
      <c r="W11" s="408">
        <f>O11/G11</f>
        <v>1.9974764328878865</v>
      </c>
      <c r="X11" s="408">
        <f>P11/H11</f>
        <v>1.6210586661570801</v>
      </c>
      <c r="Y11" s="408">
        <f t="shared" ref="Y11" si="4">Q11/I11</f>
        <v>2.5203886350526732</v>
      </c>
      <c r="Z11" s="408">
        <f>R11/J11</f>
        <v>1.0343002744021952</v>
      </c>
      <c r="AA11" s="185"/>
      <c r="AB11" s="185"/>
    </row>
    <row r="12" spans="1:28" ht="18" customHeight="1">
      <c r="A12" s="207">
        <v>2</v>
      </c>
      <c r="B12" s="208" t="s">
        <v>657</v>
      </c>
      <c r="C12" s="101">
        <f t="shared" ref="C12:C20" si="5">D12+E12</f>
        <v>339769</v>
      </c>
      <c r="D12" s="101">
        <v>263005</v>
      </c>
      <c r="E12" s="101">
        <f t="shared" ref="E12:E20" si="6">H12+I12+J12</f>
        <v>76764</v>
      </c>
      <c r="F12" s="101">
        <v>12705</v>
      </c>
      <c r="G12" s="101">
        <f t="shared" ref="G12:G20" si="7">E12-F12</f>
        <v>64059</v>
      </c>
      <c r="H12" s="101">
        <v>15577</v>
      </c>
      <c r="I12" s="101">
        <f>14622+19146</f>
        <v>33768</v>
      </c>
      <c r="J12" s="101">
        <v>27419</v>
      </c>
      <c r="K12" s="101">
        <f t="shared" si="3"/>
        <v>396588.13</v>
      </c>
      <c r="L12" s="209">
        <f t="shared" ref="L12:L20" si="8">D12</f>
        <v>263005</v>
      </c>
      <c r="M12" s="209">
        <f t="shared" ref="M12:M19" si="9">N12+O12</f>
        <v>133583.13</v>
      </c>
      <c r="N12" s="101">
        <v>12705</v>
      </c>
      <c r="O12" s="209">
        <v>120878.13</v>
      </c>
      <c r="P12" s="101">
        <v>28363</v>
      </c>
      <c r="Q12" s="209">
        <f t="shared" ref="Q12:Q19" si="10">M12-P12-R12</f>
        <v>76391.13</v>
      </c>
      <c r="R12" s="209">
        <v>28829</v>
      </c>
      <c r="S12" s="405">
        <f t="shared" si="1"/>
        <v>1.1672287053851294</v>
      </c>
      <c r="T12" s="405">
        <f t="shared" si="1"/>
        <v>1</v>
      </c>
      <c r="U12" s="408">
        <f t="shared" si="2"/>
        <v>1.7401793809598249</v>
      </c>
      <c r="V12" s="408">
        <f t="shared" ref="V12:V20" si="11">N12/F12</f>
        <v>1</v>
      </c>
      <c r="W12" s="408">
        <f t="shared" ref="W12:W20" si="12">O12/G12</f>
        <v>1.8869812204374092</v>
      </c>
      <c r="X12" s="408">
        <f t="shared" ref="X12:X19" si="13">P12/H12</f>
        <v>1.8208255761699943</v>
      </c>
      <c r="Y12" s="408">
        <f t="shared" ref="Y12:Y19" si="14">Q12/I12</f>
        <v>2.2622343638948119</v>
      </c>
      <c r="Z12" s="408">
        <f t="shared" ref="Z12:Z19" si="15">R12/J12</f>
        <v>1.0514241949013459</v>
      </c>
      <c r="AA12" s="185"/>
      <c r="AB12" s="185"/>
    </row>
    <row r="13" spans="1:28" ht="18" customHeight="1">
      <c r="A13" s="207">
        <v>3</v>
      </c>
      <c r="B13" s="208" t="s">
        <v>658</v>
      </c>
      <c r="C13" s="101">
        <f t="shared" si="5"/>
        <v>234955</v>
      </c>
      <c r="D13" s="101">
        <v>180092</v>
      </c>
      <c r="E13" s="101">
        <f t="shared" si="6"/>
        <v>54863</v>
      </c>
      <c r="F13" s="101">
        <v>12922</v>
      </c>
      <c r="G13" s="101">
        <f t="shared" si="7"/>
        <v>41941</v>
      </c>
      <c r="H13" s="101">
        <v>5482</v>
      </c>
      <c r="I13" s="101">
        <f>8040+12743</f>
        <v>20783</v>
      </c>
      <c r="J13" s="101">
        <v>28598</v>
      </c>
      <c r="K13" s="101">
        <f t="shared" si="3"/>
        <v>269992</v>
      </c>
      <c r="L13" s="209">
        <f t="shared" si="8"/>
        <v>180092</v>
      </c>
      <c r="M13" s="209">
        <f t="shared" si="9"/>
        <v>89900</v>
      </c>
      <c r="N13" s="101">
        <v>12922</v>
      </c>
      <c r="O13" s="209">
        <v>76978</v>
      </c>
      <c r="P13" s="101">
        <v>18904</v>
      </c>
      <c r="Q13" s="209">
        <f t="shared" si="10"/>
        <v>41688</v>
      </c>
      <c r="R13" s="209">
        <v>29308</v>
      </c>
      <c r="S13" s="405">
        <f t="shared" si="1"/>
        <v>1.1491221723308718</v>
      </c>
      <c r="T13" s="405">
        <f t="shared" si="1"/>
        <v>1</v>
      </c>
      <c r="U13" s="408">
        <f t="shared" si="2"/>
        <v>1.6386271257495943</v>
      </c>
      <c r="V13" s="408">
        <f t="shared" si="11"/>
        <v>1</v>
      </c>
      <c r="W13" s="408">
        <f t="shared" si="12"/>
        <v>1.8353878066808136</v>
      </c>
      <c r="X13" s="408">
        <f t="shared" si="13"/>
        <v>3.4483765049252098</v>
      </c>
      <c r="Y13" s="408">
        <f t="shared" si="14"/>
        <v>2.0058701823605833</v>
      </c>
      <c r="Z13" s="408">
        <f t="shared" si="15"/>
        <v>1.0248269109727952</v>
      </c>
      <c r="AA13" s="185"/>
      <c r="AB13" s="185"/>
    </row>
    <row r="14" spans="1:28" ht="18" customHeight="1">
      <c r="A14" s="207">
        <v>4</v>
      </c>
      <c r="B14" s="208" t="s">
        <v>659</v>
      </c>
      <c r="C14" s="101">
        <f t="shared" si="5"/>
        <v>278524</v>
      </c>
      <c r="D14" s="101">
        <v>206964</v>
      </c>
      <c r="E14" s="101">
        <f t="shared" si="6"/>
        <v>71560</v>
      </c>
      <c r="F14" s="101">
        <v>17152</v>
      </c>
      <c r="G14" s="101">
        <f t="shared" si="7"/>
        <v>54408</v>
      </c>
      <c r="H14" s="101">
        <v>20463</v>
      </c>
      <c r="I14" s="101">
        <f>5355+5638</f>
        <v>10993</v>
      </c>
      <c r="J14" s="101">
        <v>40104</v>
      </c>
      <c r="K14" s="101">
        <f t="shared" si="3"/>
        <v>333546.97200000001</v>
      </c>
      <c r="L14" s="209">
        <f t="shared" si="8"/>
        <v>206964</v>
      </c>
      <c r="M14" s="209">
        <f t="shared" si="9"/>
        <v>126582.97199999999</v>
      </c>
      <c r="N14" s="209">
        <v>17152</v>
      </c>
      <c r="O14" s="209">
        <v>109430.97199999999</v>
      </c>
      <c r="P14" s="209">
        <v>32018</v>
      </c>
      <c r="Q14" s="209">
        <f t="shared" si="10"/>
        <v>54460.971999999994</v>
      </c>
      <c r="R14" s="209">
        <v>40104</v>
      </c>
      <c r="S14" s="405">
        <f t="shared" si="1"/>
        <v>1.1975519955192371</v>
      </c>
      <c r="T14" s="405">
        <f t="shared" si="1"/>
        <v>1</v>
      </c>
      <c r="U14" s="408">
        <f t="shared" si="2"/>
        <v>1.768906819452208</v>
      </c>
      <c r="V14" s="408">
        <f t="shared" si="11"/>
        <v>1</v>
      </c>
      <c r="W14" s="408">
        <f t="shared" si="12"/>
        <v>2.0113029701514482</v>
      </c>
      <c r="X14" s="408">
        <f t="shared" si="13"/>
        <v>1.5646777109905683</v>
      </c>
      <c r="Y14" s="408">
        <f t="shared" si="14"/>
        <v>4.9541500955153275</v>
      </c>
      <c r="Z14" s="408">
        <f t="shared" si="15"/>
        <v>1</v>
      </c>
      <c r="AA14" s="185"/>
      <c r="AB14" s="185"/>
    </row>
    <row r="15" spans="1:28" ht="18" customHeight="1">
      <c r="A15" s="207">
        <v>5</v>
      </c>
      <c r="B15" s="208" t="s">
        <v>660</v>
      </c>
      <c r="C15" s="101">
        <f t="shared" si="5"/>
        <v>393271</v>
      </c>
      <c r="D15" s="101">
        <v>272226</v>
      </c>
      <c r="E15" s="101">
        <f t="shared" si="6"/>
        <v>121045</v>
      </c>
      <c r="F15" s="101">
        <v>28914</v>
      </c>
      <c r="G15" s="101">
        <f t="shared" si="7"/>
        <v>92131</v>
      </c>
      <c r="H15" s="101">
        <v>8869</v>
      </c>
      <c r="I15" s="101">
        <f>14517+20776</f>
        <v>35293</v>
      </c>
      <c r="J15" s="101">
        <v>76883</v>
      </c>
      <c r="K15" s="101">
        <f t="shared" si="3"/>
        <v>446428.58799999999</v>
      </c>
      <c r="L15" s="209">
        <f t="shared" si="8"/>
        <v>272226</v>
      </c>
      <c r="M15" s="209">
        <f t="shared" si="9"/>
        <v>174202.58799999999</v>
      </c>
      <c r="N15" s="101">
        <v>28914</v>
      </c>
      <c r="O15" s="209">
        <v>145288.58799999999</v>
      </c>
      <c r="P15" s="101">
        <v>11503</v>
      </c>
      <c r="Q15" s="209">
        <f t="shared" si="10"/>
        <v>85816.587999999989</v>
      </c>
      <c r="R15" s="209">
        <v>76883</v>
      </c>
      <c r="S15" s="405">
        <f t="shared" si="1"/>
        <v>1.1351678308342084</v>
      </c>
      <c r="T15" s="405">
        <f t="shared" si="1"/>
        <v>1</v>
      </c>
      <c r="U15" s="408">
        <f t="shared" si="2"/>
        <v>1.4391555867652526</v>
      </c>
      <c r="V15" s="408">
        <f t="shared" si="11"/>
        <v>1</v>
      </c>
      <c r="W15" s="408">
        <f t="shared" si="12"/>
        <v>1.5769783026342923</v>
      </c>
      <c r="X15" s="408">
        <f t="shared" si="13"/>
        <v>1.2969895140376593</v>
      </c>
      <c r="Y15" s="408">
        <f t="shared" si="14"/>
        <v>2.4315469923214232</v>
      </c>
      <c r="Z15" s="408">
        <f t="shared" si="15"/>
        <v>1</v>
      </c>
      <c r="AA15" s="185"/>
      <c r="AB15" s="185"/>
    </row>
    <row r="16" spans="1:28" ht="18" customHeight="1">
      <c r="A16" s="207">
        <v>6</v>
      </c>
      <c r="B16" s="208" t="s">
        <v>661</v>
      </c>
      <c r="C16" s="101">
        <f t="shared" si="5"/>
        <v>319005</v>
      </c>
      <c r="D16" s="101">
        <v>212136</v>
      </c>
      <c r="E16" s="101">
        <f t="shared" si="6"/>
        <v>106869</v>
      </c>
      <c r="F16" s="101">
        <v>24895</v>
      </c>
      <c r="G16" s="101">
        <f t="shared" si="7"/>
        <v>81974</v>
      </c>
      <c r="H16" s="101">
        <v>3596</v>
      </c>
      <c r="I16" s="101">
        <f>14477+20391</f>
        <v>34868</v>
      </c>
      <c r="J16" s="101">
        <v>68405</v>
      </c>
      <c r="K16" s="176">
        <f t="shared" si="3"/>
        <v>348317.55099999998</v>
      </c>
      <c r="L16" s="209">
        <f t="shared" si="8"/>
        <v>212136</v>
      </c>
      <c r="M16" s="209">
        <f t="shared" si="9"/>
        <v>136181.55100000001</v>
      </c>
      <c r="N16" s="176">
        <v>24895</v>
      </c>
      <c r="O16" s="209">
        <v>111286.55100000001</v>
      </c>
      <c r="P16" s="176">
        <v>6436</v>
      </c>
      <c r="Q16" s="209">
        <f t="shared" si="10"/>
        <v>61340.551000000007</v>
      </c>
      <c r="R16" s="209">
        <v>68405</v>
      </c>
      <c r="S16" s="405">
        <f t="shared" si="1"/>
        <v>1.0918874343662324</v>
      </c>
      <c r="T16" s="405">
        <f t="shared" si="1"/>
        <v>1</v>
      </c>
      <c r="U16" s="408">
        <f t="shared" si="2"/>
        <v>1.2742848814904228</v>
      </c>
      <c r="V16" s="408">
        <f t="shared" si="11"/>
        <v>1</v>
      </c>
      <c r="W16" s="408">
        <f t="shared" si="12"/>
        <v>1.3575835142850172</v>
      </c>
      <c r="X16" s="408">
        <f t="shared" si="13"/>
        <v>1.7897664071190211</v>
      </c>
      <c r="Y16" s="408">
        <f t="shared" si="14"/>
        <v>1.7592219513594127</v>
      </c>
      <c r="Z16" s="408">
        <f t="shared" si="15"/>
        <v>1</v>
      </c>
      <c r="AA16" s="185"/>
      <c r="AB16" s="185"/>
    </row>
    <row r="17" spans="1:28" ht="18" customHeight="1">
      <c r="A17" s="207">
        <v>7</v>
      </c>
      <c r="B17" s="208" t="s">
        <v>662</v>
      </c>
      <c r="C17" s="101">
        <f t="shared" si="5"/>
        <v>129891.32</v>
      </c>
      <c r="D17" s="101">
        <v>63365</v>
      </c>
      <c r="E17" s="101">
        <f t="shared" si="6"/>
        <v>66526.320000000007</v>
      </c>
      <c r="F17" s="101">
        <v>10759</v>
      </c>
      <c r="G17" s="101">
        <f t="shared" si="7"/>
        <v>55767.320000000007</v>
      </c>
      <c r="H17" s="101">
        <v>8291</v>
      </c>
      <c r="I17" s="101">
        <f>6278+6277.32</f>
        <v>12555.32</v>
      </c>
      <c r="J17" s="101">
        <v>45680</v>
      </c>
      <c r="K17" s="101">
        <f>+L17+M17</f>
        <v>152526</v>
      </c>
      <c r="L17" s="209">
        <f t="shared" si="8"/>
        <v>63365</v>
      </c>
      <c r="M17" s="209">
        <f t="shared" si="9"/>
        <v>89161</v>
      </c>
      <c r="N17" s="101">
        <v>10759</v>
      </c>
      <c r="O17" s="209">
        <v>78402</v>
      </c>
      <c r="P17" s="101">
        <v>19291</v>
      </c>
      <c r="Q17" s="209">
        <f t="shared" si="10"/>
        <v>24190</v>
      </c>
      <c r="R17" s="209">
        <v>45680</v>
      </c>
      <c r="S17" s="405">
        <f t="shared" si="1"/>
        <v>1.1742586032692561</v>
      </c>
      <c r="T17" s="405">
        <f t="shared" si="1"/>
        <v>1</v>
      </c>
      <c r="U17" s="408">
        <f t="shared" si="2"/>
        <v>1.3402364658078185</v>
      </c>
      <c r="V17" s="408">
        <f t="shared" si="11"/>
        <v>1</v>
      </c>
      <c r="W17" s="408">
        <f t="shared" si="12"/>
        <v>1.4058771337765557</v>
      </c>
      <c r="X17" s="408">
        <f t="shared" si="13"/>
        <v>2.3267398383789653</v>
      </c>
      <c r="Y17" s="408">
        <f t="shared" si="14"/>
        <v>1.9266733145789992</v>
      </c>
      <c r="Z17" s="408">
        <f t="shared" si="15"/>
        <v>1</v>
      </c>
      <c r="AA17" s="185"/>
      <c r="AB17" s="185"/>
    </row>
    <row r="18" spans="1:28" ht="18" customHeight="1">
      <c r="A18" s="207">
        <v>8</v>
      </c>
      <c r="B18" s="208" t="s">
        <v>613</v>
      </c>
      <c r="C18" s="101">
        <f t="shared" si="5"/>
        <v>236543</v>
      </c>
      <c r="D18" s="101">
        <v>165144</v>
      </c>
      <c r="E18" s="101">
        <f t="shared" si="6"/>
        <v>71399</v>
      </c>
      <c r="F18" s="101">
        <v>14479</v>
      </c>
      <c r="G18" s="101">
        <f t="shared" si="7"/>
        <v>56920</v>
      </c>
      <c r="H18" s="101">
        <v>15417</v>
      </c>
      <c r="I18" s="101">
        <f>11924+12037</f>
        <v>23961</v>
      </c>
      <c r="J18" s="101">
        <v>32021</v>
      </c>
      <c r="K18" s="101">
        <f>L18+M18</f>
        <v>267099.38</v>
      </c>
      <c r="L18" s="209">
        <f t="shared" si="8"/>
        <v>165144</v>
      </c>
      <c r="M18" s="209">
        <f t="shared" si="9"/>
        <v>101955.38</v>
      </c>
      <c r="N18" s="101">
        <v>14479</v>
      </c>
      <c r="O18" s="209">
        <v>87476.38</v>
      </c>
      <c r="P18" s="101">
        <v>21417</v>
      </c>
      <c r="Q18" s="209">
        <f t="shared" si="10"/>
        <v>48157.380000000005</v>
      </c>
      <c r="R18" s="209">
        <v>32381</v>
      </c>
      <c r="S18" s="405">
        <f t="shared" si="1"/>
        <v>1.1291789653466813</v>
      </c>
      <c r="T18" s="405">
        <f t="shared" si="1"/>
        <v>1</v>
      </c>
      <c r="U18" s="408">
        <f t="shared" si="2"/>
        <v>1.427966498130226</v>
      </c>
      <c r="V18" s="408">
        <f t="shared" si="11"/>
        <v>1</v>
      </c>
      <c r="W18" s="408">
        <f t="shared" si="12"/>
        <v>1.5368302881236824</v>
      </c>
      <c r="X18" s="408">
        <f t="shared" si="13"/>
        <v>1.3891807744697411</v>
      </c>
      <c r="Y18" s="408">
        <f t="shared" si="14"/>
        <v>2.0098234631275824</v>
      </c>
      <c r="Z18" s="408">
        <f>R18/J18</f>
        <v>1.0112426220292934</v>
      </c>
      <c r="AA18" s="185"/>
      <c r="AB18" s="185"/>
    </row>
    <row r="19" spans="1:28" ht="18" customHeight="1">
      <c r="A19" s="207">
        <v>9</v>
      </c>
      <c r="B19" s="208" t="s">
        <v>663</v>
      </c>
      <c r="C19" s="101">
        <f t="shared" si="5"/>
        <v>265071</v>
      </c>
      <c r="D19" s="101">
        <v>172890</v>
      </c>
      <c r="E19" s="101">
        <f t="shared" si="6"/>
        <v>92181</v>
      </c>
      <c r="F19" s="101">
        <v>24065</v>
      </c>
      <c r="G19" s="101">
        <f t="shared" si="7"/>
        <v>68116</v>
      </c>
      <c r="H19" s="101">
        <v>7695</v>
      </c>
      <c r="I19" s="101">
        <f>11964+11179</f>
        <v>23143</v>
      </c>
      <c r="J19" s="101">
        <v>61343</v>
      </c>
      <c r="K19" s="210">
        <f>+L19+M19</f>
        <v>308922.37699999998</v>
      </c>
      <c r="L19" s="209">
        <f t="shared" si="8"/>
        <v>172890</v>
      </c>
      <c r="M19" s="209">
        <f t="shared" si="9"/>
        <v>136032.37700000001</v>
      </c>
      <c r="N19" s="210">
        <v>24065</v>
      </c>
      <c r="O19" s="209">
        <v>111967.37700000001</v>
      </c>
      <c r="P19" s="210">
        <v>9437</v>
      </c>
      <c r="Q19" s="209">
        <f t="shared" si="10"/>
        <v>64902.377000000008</v>
      </c>
      <c r="R19" s="209">
        <v>61693</v>
      </c>
      <c r="S19" s="405">
        <f t="shared" si="1"/>
        <v>1.1654325708960995</v>
      </c>
      <c r="T19" s="405">
        <f t="shared" si="1"/>
        <v>1</v>
      </c>
      <c r="U19" s="408">
        <f t="shared" si="2"/>
        <v>1.4757094954491707</v>
      </c>
      <c r="V19" s="408">
        <f t="shared" si="11"/>
        <v>1</v>
      </c>
      <c r="W19" s="408">
        <f t="shared" si="12"/>
        <v>1.6437749867872453</v>
      </c>
      <c r="X19" s="408">
        <f t="shared" si="13"/>
        <v>1.226380766731644</v>
      </c>
      <c r="Y19" s="408">
        <f t="shared" si="14"/>
        <v>2.8044063863803315</v>
      </c>
      <c r="Z19" s="408">
        <f t="shared" si="15"/>
        <v>1.0057056224834129</v>
      </c>
      <c r="AA19" s="185"/>
      <c r="AB19" s="185"/>
    </row>
    <row r="20" spans="1:28" ht="18" customHeight="1">
      <c r="A20" s="211">
        <v>10</v>
      </c>
      <c r="B20" s="212" t="s">
        <v>1087</v>
      </c>
      <c r="C20" s="213">
        <f t="shared" si="5"/>
        <v>378918</v>
      </c>
      <c r="D20" s="213">
        <v>226668</v>
      </c>
      <c r="E20" s="213">
        <f t="shared" si="6"/>
        <v>152250</v>
      </c>
      <c r="F20" s="213">
        <v>36246</v>
      </c>
      <c r="G20" s="213">
        <f t="shared" si="7"/>
        <v>116004</v>
      </c>
      <c r="H20" s="213">
        <v>17805</v>
      </c>
      <c r="I20" s="213">
        <f>10660+10322</f>
        <v>20982</v>
      </c>
      <c r="J20" s="213">
        <f>134041-20578</f>
        <v>113463</v>
      </c>
      <c r="K20" s="213">
        <f>L20+M20</f>
        <v>414654.46299999999</v>
      </c>
      <c r="L20" s="214">
        <f t="shared" si="8"/>
        <v>226668</v>
      </c>
      <c r="M20" s="213">
        <f>N20+O20</f>
        <v>187986.46299999999</v>
      </c>
      <c r="N20" s="213">
        <v>36246</v>
      </c>
      <c r="O20" s="213">
        <v>151740.46299999999</v>
      </c>
      <c r="P20" s="213">
        <v>28969.308000000001</v>
      </c>
      <c r="Q20" s="214">
        <f>M20-P20-R20</f>
        <v>45554.154999999999</v>
      </c>
      <c r="R20" s="214">
        <v>113463</v>
      </c>
      <c r="S20" s="406">
        <f t="shared" si="1"/>
        <v>1.0943118643083727</v>
      </c>
      <c r="T20" s="406">
        <f t="shared" si="1"/>
        <v>1</v>
      </c>
      <c r="U20" s="409">
        <f t="shared" si="2"/>
        <v>1.2347222528735631</v>
      </c>
      <c r="V20" s="409">
        <f t="shared" si="11"/>
        <v>1</v>
      </c>
      <c r="W20" s="409">
        <f t="shared" si="12"/>
        <v>1.3080623340574462</v>
      </c>
      <c r="X20" s="409">
        <f>P20/H20</f>
        <v>1.6270321819713565</v>
      </c>
      <c r="Y20" s="409">
        <f>Q20/I20</f>
        <v>2.1711064245543801</v>
      </c>
      <c r="Z20" s="409">
        <f>R20/J20</f>
        <v>1</v>
      </c>
      <c r="AA20" s="185"/>
      <c r="AB20" s="185"/>
    </row>
    <row r="21" spans="1:28">
      <c r="J21" s="185"/>
      <c r="P21" s="185"/>
      <c r="Q21" s="185"/>
      <c r="R21" s="185"/>
    </row>
    <row r="22" spans="1:28">
      <c r="P22" s="185"/>
      <c r="Q22" s="185"/>
      <c r="R22" s="185"/>
    </row>
    <row r="23" spans="1:28">
      <c r="P23" s="185"/>
      <c r="Q23" s="185"/>
      <c r="R23" s="185"/>
    </row>
    <row r="24" spans="1:28">
      <c r="P24" s="185"/>
      <c r="Q24" s="185"/>
      <c r="R24" s="185"/>
    </row>
    <row r="25" spans="1:28">
      <c r="P25" s="185"/>
      <c r="Q25" s="185"/>
      <c r="R25" s="185"/>
    </row>
    <row r="26" spans="1:28">
      <c r="P26" s="185"/>
      <c r="Q26" s="185"/>
      <c r="R26" s="185"/>
    </row>
    <row r="27" spans="1:28">
      <c r="P27" s="185"/>
      <c r="Q27" s="185"/>
      <c r="R27" s="185"/>
    </row>
    <row r="28" spans="1:28">
      <c r="P28" s="185"/>
      <c r="Q28" s="185"/>
      <c r="R28" s="185"/>
    </row>
    <row r="29" spans="1:28">
      <c r="P29" s="185"/>
      <c r="Q29" s="185"/>
      <c r="R29" s="185"/>
    </row>
    <row r="30" spans="1:28">
      <c r="P30" s="185"/>
      <c r="Q30" s="185"/>
      <c r="R30" s="185"/>
    </row>
    <row r="31" spans="1:28">
      <c r="P31" s="185"/>
      <c r="Q31" s="185"/>
      <c r="R31" s="185"/>
    </row>
  </sheetData>
  <mergeCells count="34">
    <mergeCell ref="X7:X8"/>
    <mergeCell ref="Q7:Q8"/>
    <mergeCell ref="Y7:Y8"/>
    <mergeCell ref="E7:E8"/>
    <mergeCell ref="F7:G7"/>
    <mergeCell ref="H7:H8"/>
    <mergeCell ref="I7:I8"/>
    <mergeCell ref="J7:J8"/>
    <mergeCell ref="N7:O7"/>
    <mergeCell ref="P7:P8"/>
    <mergeCell ref="S6:S8"/>
    <mergeCell ref="U7:U8"/>
    <mergeCell ref="V7:W7"/>
    <mergeCell ref="A5:A8"/>
    <mergeCell ref="B5:B8"/>
    <mergeCell ref="C5:J5"/>
    <mergeCell ref="K5:R5"/>
    <mergeCell ref="S5:Z5"/>
    <mergeCell ref="C6:C8"/>
    <mergeCell ref="D6:D8"/>
    <mergeCell ref="E6:J6"/>
    <mergeCell ref="K6:K8"/>
    <mergeCell ref="L6:L8"/>
    <mergeCell ref="M6:R6"/>
    <mergeCell ref="Z7:Z8"/>
    <mergeCell ref="R7:R8"/>
    <mergeCell ref="T6:T8"/>
    <mergeCell ref="U6:Z6"/>
    <mergeCell ref="M7:M8"/>
    <mergeCell ref="X1:Z1"/>
    <mergeCell ref="B1:D1"/>
    <mergeCell ref="A2:Z2"/>
    <mergeCell ref="A3:Z3"/>
    <mergeCell ref="X4:Z4"/>
  </mergeCells>
  <pageMargins left="0.70866141732283472" right="0.70866141732283472" top="0.74803149606299213" bottom="0.74803149606299213" header="0.31496062992125984" footer="0.31496062992125984"/>
  <pageSetup paperSize="9" scale="7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BD49"/>
  <sheetViews>
    <sheetView showZeros="0" zoomScale="85" zoomScaleNormal="85" workbookViewId="0">
      <pane xSplit="2" ySplit="13" topLeftCell="Y14" activePane="bottomRight" state="frozen"/>
      <selection pane="topRight" activeCell="C1" sqref="C1"/>
      <selection pane="bottomLeft" activeCell="A14" sqref="A14"/>
      <selection pane="bottomRight" activeCell="AW17" sqref="AW17"/>
    </sheetView>
  </sheetViews>
  <sheetFormatPr defaultColWidth="9.125" defaultRowHeight="15"/>
  <cols>
    <col min="1" max="1" width="5.75" style="183" customWidth="1"/>
    <col min="2" max="2" width="25" style="183" customWidth="1"/>
    <col min="3" max="3" width="12.375" style="19" customWidth="1"/>
    <col min="4" max="4" width="9.125" style="19" customWidth="1"/>
    <col min="5" max="5" width="8.625" style="19" customWidth="1"/>
    <col min="6" max="7" width="9.125" style="19" customWidth="1"/>
    <col min="8" max="8" width="8.875" style="19" customWidth="1"/>
    <col min="9" max="12" width="9.125" style="19" customWidth="1"/>
    <col min="13" max="13" width="11.875" style="19" customWidth="1"/>
    <col min="14" max="14" width="10.25" style="19" customWidth="1"/>
    <col min="15" max="16" width="9.125" style="19" customWidth="1"/>
    <col min="17" max="17" width="10.625" style="19" customWidth="1"/>
    <col min="18" max="19" width="9.125" style="19" customWidth="1"/>
    <col min="20" max="20" width="11" style="183" customWidth="1"/>
    <col min="21" max="36" width="9.125" style="183" customWidth="1"/>
    <col min="37" max="37" width="9.125" style="183"/>
    <col min="38" max="53" width="9.125" style="183" customWidth="1"/>
    <col min="54" max="16384" width="9.125" style="183"/>
  </cols>
  <sheetData>
    <row r="1" spans="1:56" ht="15" customHeight="1">
      <c r="A1" s="586"/>
      <c r="B1" s="586"/>
      <c r="Q1" s="532"/>
      <c r="R1" s="532"/>
      <c r="S1" s="532"/>
      <c r="AZ1" s="586" t="s">
        <v>1015</v>
      </c>
      <c r="BA1" s="586"/>
    </row>
    <row r="2" spans="1:56">
      <c r="A2" s="261"/>
    </row>
    <row r="3" spans="1:56">
      <c r="A3" s="587" t="s">
        <v>937</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7"/>
      <c r="AJ3" s="587"/>
      <c r="AK3" s="587"/>
      <c r="AL3" s="587"/>
      <c r="AM3" s="587"/>
      <c r="AN3" s="587"/>
      <c r="AO3" s="587"/>
      <c r="AP3" s="587"/>
      <c r="AQ3" s="587"/>
      <c r="AR3" s="587"/>
      <c r="AS3" s="587"/>
      <c r="AT3" s="587"/>
      <c r="AU3" s="587"/>
      <c r="AV3" s="587"/>
      <c r="AW3" s="587"/>
      <c r="AX3" s="587"/>
      <c r="AY3" s="587"/>
      <c r="AZ3" s="587"/>
      <c r="BA3" s="587"/>
    </row>
    <row r="4" spans="1:56">
      <c r="A4" s="588" t="s">
        <v>871</v>
      </c>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588"/>
      <c r="AX4" s="588"/>
      <c r="AY4" s="588"/>
      <c r="AZ4" s="588"/>
      <c r="BA4" s="588"/>
    </row>
    <row r="5" spans="1:56">
      <c r="B5" s="262"/>
    </row>
    <row r="6" spans="1:56">
      <c r="B6" s="262"/>
      <c r="R6" s="239"/>
      <c r="S6" s="239"/>
      <c r="AZ6" s="588" t="s">
        <v>869</v>
      </c>
      <c r="BA6" s="588"/>
    </row>
    <row r="7" spans="1:56" s="228" customFormat="1" ht="24.75" customHeight="1">
      <c r="A7" s="584" t="s">
        <v>16</v>
      </c>
      <c r="B7" s="584" t="s">
        <v>64</v>
      </c>
      <c r="C7" s="589" t="s">
        <v>665</v>
      </c>
      <c r="D7" s="589"/>
      <c r="E7" s="589"/>
      <c r="F7" s="589"/>
      <c r="G7" s="589"/>
      <c r="H7" s="589"/>
      <c r="I7" s="589"/>
      <c r="J7" s="589"/>
      <c r="K7" s="589"/>
      <c r="L7" s="589"/>
      <c r="M7" s="589"/>
      <c r="N7" s="589"/>
      <c r="O7" s="589"/>
      <c r="P7" s="589"/>
      <c r="Q7" s="589"/>
      <c r="R7" s="589"/>
      <c r="S7" s="589"/>
      <c r="T7" s="590" t="s">
        <v>686</v>
      </c>
      <c r="U7" s="590"/>
      <c r="V7" s="590"/>
      <c r="W7" s="590"/>
      <c r="X7" s="590"/>
      <c r="Y7" s="590"/>
      <c r="Z7" s="590"/>
      <c r="AA7" s="590"/>
      <c r="AB7" s="590"/>
      <c r="AC7" s="590"/>
      <c r="AD7" s="590"/>
      <c r="AE7" s="590"/>
      <c r="AF7" s="590"/>
      <c r="AG7" s="590"/>
      <c r="AH7" s="590"/>
      <c r="AI7" s="590"/>
      <c r="AJ7" s="590"/>
      <c r="AK7" s="590" t="s">
        <v>687</v>
      </c>
      <c r="AL7" s="590"/>
      <c r="AM7" s="590"/>
      <c r="AN7" s="590"/>
      <c r="AO7" s="590"/>
      <c r="AP7" s="590"/>
      <c r="AQ7" s="590"/>
      <c r="AR7" s="590"/>
      <c r="AS7" s="590"/>
      <c r="AT7" s="590"/>
      <c r="AU7" s="590"/>
      <c r="AV7" s="590"/>
      <c r="AW7" s="590"/>
      <c r="AX7" s="590"/>
      <c r="AY7" s="590"/>
      <c r="AZ7" s="590"/>
      <c r="BA7" s="590"/>
    </row>
    <row r="8" spans="1:56">
      <c r="A8" s="584"/>
      <c r="B8" s="584"/>
      <c r="C8" s="513" t="s">
        <v>158</v>
      </c>
      <c r="D8" s="513" t="s">
        <v>164</v>
      </c>
      <c r="E8" s="513"/>
      <c r="F8" s="513" t="s">
        <v>676</v>
      </c>
      <c r="G8" s="513"/>
      <c r="H8" s="513"/>
      <c r="I8" s="513"/>
      <c r="J8" s="513"/>
      <c r="K8" s="513"/>
      <c r="L8" s="513"/>
      <c r="M8" s="513" t="s">
        <v>675</v>
      </c>
      <c r="N8" s="513"/>
      <c r="O8" s="513"/>
      <c r="P8" s="513"/>
      <c r="Q8" s="513"/>
      <c r="R8" s="513"/>
      <c r="S8" s="513"/>
      <c r="T8" s="584" t="s">
        <v>158</v>
      </c>
      <c r="U8" s="584" t="s">
        <v>164</v>
      </c>
      <c r="V8" s="584"/>
      <c r="W8" s="584" t="s">
        <v>676</v>
      </c>
      <c r="X8" s="584"/>
      <c r="Y8" s="584"/>
      <c r="Z8" s="584"/>
      <c r="AA8" s="584"/>
      <c r="AB8" s="584"/>
      <c r="AC8" s="584"/>
      <c r="AD8" s="584" t="s">
        <v>675</v>
      </c>
      <c r="AE8" s="584"/>
      <c r="AF8" s="584"/>
      <c r="AG8" s="584"/>
      <c r="AH8" s="584"/>
      <c r="AI8" s="584"/>
      <c r="AJ8" s="584"/>
      <c r="AK8" s="584" t="s">
        <v>158</v>
      </c>
      <c r="AL8" s="584" t="s">
        <v>164</v>
      </c>
      <c r="AM8" s="584"/>
      <c r="AN8" s="584" t="s">
        <v>676</v>
      </c>
      <c r="AO8" s="584"/>
      <c r="AP8" s="584"/>
      <c r="AQ8" s="584"/>
      <c r="AR8" s="584"/>
      <c r="AS8" s="584"/>
      <c r="AT8" s="584"/>
      <c r="AU8" s="584" t="s">
        <v>675</v>
      </c>
      <c r="AV8" s="584"/>
      <c r="AW8" s="584"/>
      <c r="AX8" s="584"/>
      <c r="AY8" s="584"/>
      <c r="AZ8" s="584"/>
      <c r="BA8" s="584"/>
    </row>
    <row r="9" spans="1:56">
      <c r="A9" s="584"/>
      <c r="B9" s="584"/>
      <c r="C9" s="513"/>
      <c r="D9" s="585" t="s">
        <v>188</v>
      </c>
      <c r="E9" s="585" t="s">
        <v>189</v>
      </c>
      <c r="F9" s="513" t="s">
        <v>158</v>
      </c>
      <c r="G9" s="585" t="s">
        <v>188</v>
      </c>
      <c r="H9" s="585"/>
      <c r="I9" s="585"/>
      <c r="J9" s="585" t="s">
        <v>189</v>
      </c>
      <c r="K9" s="585"/>
      <c r="L9" s="585"/>
      <c r="M9" s="513" t="s">
        <v>158</v>
      </c>
      <c r="N9" s="585" t="s">
        <v>188</v>
      </c>
      <c r="O9" s="585"/>
      <c r="P9" s="585"/>
      <c r="Q9" s="585" t="s">
        <v>189</v>
      </c>
      <c r="R9" s="585"/>
      <c r="S9" s="585"/>
      <c r="T9" s="584"/>
      <c r="U9" s="583" t="s">
        <v>188</v>
      </c>
      <c r="V9" s="583" t="s">
        <v>189</v>
      </c>
      <c r="W9" s="584" t="s">
        <v>158</v>
      </c>
      <c r="X9" s="583" t="s">
        <v>188</v>
      </c>
      <c r="Y9" s="583"/>
      <c r="Z9" s="583"/>
      <c r="AA9" s="583" t="s">
        <v>189</v>
      </c>
      <c r="AB9" s="583"/>
      <c r="AC9" s="583"/>
      <c r="AD9" s="584" t="s">
        <v>158</v>
      </c>
      <c r="AE9" s="583" t="s">
        <v>188</v>
      </c>
      <c r="AF9" s="583"/>
      <c r="AG9" s="583"/>
      <c r="AH9" s="583" t="s">
        <v>189</v>
      </c>
      <c r="AI9" s="583"/>
      <c r="AJ9" s="583"/>
      <c r="AK9" s="584"/>
      <c r="AL9" s="583" t="s">
        <v>188</v>
      </c>
      <c r="AM9" s="583" t="s">
        <v>189</v>
      </c>
      <c r="AN9" s="584" t="s">
        <v>158</v>
      </c>
      <c r="AO9" s="583" t="s">
        <v>188</v>
      </c>
      <c r="AP9" s="583"/>
      <c r="AQ9" s="583"/>
      <c r="AR9" s="583" t="s">
        <v>189</v>
      </c>
      <c r="AS9" s="583"/>
      <c r="AT9" s="583"/>
      <c r="AU9" s="584" t="s">
        <v>158</v>
      </c>
      <c r="AV9" s="583" t="s">
        <v>188</v>
      </c>
      <c r="AW9" s="583"/>
      <c r="AX9" s="583"/>
      <c r="AY9" s="583" t="s">
        <v>189</v>
      </c>
      <c r="AZ9" s="583"/>
      <c r="BA9" s="583"/>
    </row>
    <row r="10" spans="1:56" ht="46.5" customHeight="1">
      <c r="A10" s="584"/>
      <c r="B10" s="584"/>
      <c r="C10" s="513"/>
      <c r="D10" s="585"/>
      <c r="E10" s="585"/>
      <c r="F10" s="513"/>
      <c r="G10" s="243" t="s">
        <v>158</v>
      </c>
      <c r="H10" s="243" t="s">
        <v>177</v>
      </c>
      <c r="I10" s="243" t="s">
        <v>176</v>
      </c>
      <c r="J10" s="243" t="s">
        <v>158</v>
      </c>
      <c r="K10" s="243" t="s">
        <v>177</v>
      </c>
      <c r="L10" s="243" t="s">
        <v>176</v>
      </c>
      <c r="M10" s="513"/>
      <c r="N10" s="243" t="s">
        <v>158</v>
      </c>
      <c r="O10" s="243" t="s">
        <v>177</v>
      </c>
      <c r="P10" s="243" t="s">
        <v>176</v>
      </c>
      <c r="Q10" s="243" t="s">
        <v>158</v>
      </c>
      <c r="R10" s="243" t="s">
        <v>177</v>
      </c>
      <c r="S10" s="243" t="s">
        <v>176</v>
      </c>
      <c r="T10" s="584"/>
      <c r="U10" s="583"/>
      <c r="V10" s="583"/>
      <c r="W10" s="584"/>
      <c r="X10" s="229" t="s">
        <v>158</v>
      </c>
      <c r="Y10" s="229" t="s">
        <v>177</v>
      </c>
      <c r="Z10" s="229" t="s">
        <v>176</v>
      </c>
      <c r="AA10" s="229" t="s">
        <v>158</v>
      </c>
      <c r="AB10" s="229" t="s">
        <v>177</v>
      </c>
      <c r="AC10" s="229" t="s">
        <v>176</v>
      </c>
      <c r="AD10" s="584"/>
      <c r="AE10" s="229" t="s">
        <v>158</v>
      </c>
      <c r="AF10" s="229" t="s">
        <v>177</v>
      </c>
      <c r="AG10" s="229" t="s">
        <v>176</v>
      </c>
      <c r="AH10" s="229" t="s">
        <v>158</v>
      </c>
      <c r="AI10" s="229" t="s">
        <v>177</v>
      </c>
      <c r="AJ10" s="229" t="s">
        <v>176</v>
      </c>
      <c r="AK10" s="584"/>
      <c r="AL10" s="583"/>
      <c r="AM10" s="583"/>
      <c r="AN10" s="584"/>
      <c r="AO10" s="229" t="s">
        <v>158</v>
      </c>
      <c r="AP10" s="229" t="s">
        <v>177</v>
      </c>
      <c r="AQ10" s="229" t="s">
        <v>176</v>
      </c>
      <c r="AR10" s="229" t="s">
        <v>158</v>
      </c>
      <c r="AS10" s="229" t="s">
        <v>177</v>
      </c>
      <c r="AT10" s="229" t="s">
        <v>176</v>
      </c>
      <c r="AU10" s="584"/>
      <c r="AV10" s="229" t="s">
        <v>158</v>
      </c>
      <c r="AW10" s="229" t="s">
        <v>177</v>
      </c>
      <c r="AX10" s="229" t="s">
        <v>176</v>
      </c>
      <c r="AY10" s="229" t="s">
        <v>158</v>
      </c>
      <c r="AZ10" s="229" t="s">
        <v>177</v>
      </c>
      <c r="BA10" s="229" t="s">
        <v>176</v>
      </c>
    </row>
    <row r="11" spans="1:56" ht="27" customHeight="1">
      <c r="A11" s="229" t="s">
        <v>23</v>
      </c>
      <c r="B11" s="229" t="s">
        <v>24</v>
      </c>
      <c r="C11" s="243" t="s">
        <v>152</v>
      </c>
      <c r="D11" s="243" t="s">
        <v>674</v>
      </c>
      <c r="E11" s="243" t="s">
        <v>673</v>
      </c>
      <c r="F11" s="243" t="s">
        <v>672</v>
      </c>
      <c r="G11" s="243" t="s">
        <v>671</v>
      </c>
      <c r="H11" s="243">
        <v>6</v>
      </c>
      <c r="I11" s="243">
        <v>7</v>
      </c>
      <c r="J11" s="243" t="s">
        <v>670</v>
      </c>
      <c r="K11" s="243">
        <v>9</v>
      </c>
      <c r="L11" s="243">
        <v>10</v>
      </c>
      <c r="M11" s="243" t="s">
        <v>669</v>
      </c>
      <c r="N11" s="243" t="s">
        <v>668</v>
      </c>
      <c r="O11" s="243">
        <v>13</v>
      </c>
      <c r="P11" s="243">
        <v>14</v>
      </c>
      <c r="Q11" s="243" t="s">
        <v>667</v>
      </c>
      <c r="R11" s="243">
        <v>16</v>
      </c>
      <c r="S11" s="243">
        <v>17</v>
      </c>
      <c r="T11" s="229" t="s">
        <v>677</v>
      </c>
      <c r="U11" s="229" t="s">
        <v>678</v>
      </c>
      <c r="V11" s="229" t="s">
        <v>679</v>
      </c>
      <c r="W11" s="229" t="s">
        <v>680</v>
      </c>
      <c r="X11" s="229" t="s">
        <v>681</v>
      </c>
      <c r="Y11" s="229">
        <v>8</v>
      </c>
      <c r="Z11" s="229">
        <v>9</v>
      </c>
      <c r="AA11" s="229" t="s">
        <v>682</v>
      </c>
      <c r="AB11" s="229">
        <v>11</v>
      </c>
      <c r="AC11" s="229">
        <v>12</v>
      </c>
      <c r="AD11" s="229" t="s">
        <v>683</v>
      </c>
      <c r="AE11" s="229" t="s">
        <v>684</v>
      </c>
      <c r="AF11" s="229">
        <v>15</v>
      </c>
      <c r="AG11" s="229">
        <v>16</v>
      </c>
      <c r="AH11" s="229" t="s">
        <v>685</v>
      </c>
      <c r="AI11" s="229">
        <v>18</v>
      </c>
      <c r="AJ11" s="229">
        <v>19</v>
      </c>
      <c r="AK11" s="229" t="s">
        <v>899</v>
      </c>
      <c r="AL11" s="229" t="s">
        <v>900</v>
      </c>
      <c r="AM11" s="229" t="s">
        <v>901</v>
      </c>
      <c r="AN11" s="229" t="s">
        <v>902</v>
      </c>
      <c r="AO11" s="229" t="s">
        <v>903</v>
      </c>
      <c r="AP11" s="229" t="s">
        <v>904</v>
      </c>
      <c r="AQ11" s="229" t="s">
        <v>905</v>
      </c>
      <c r="AR11" s="229" t="s">
        <v>906</v>
      </c>
      <c r="AS11" s="229" t="s">
        <v>907</v>
      </c>
      <c r="AT11" s="229" t="s">
        <v>908</v>
      </c>
      <c r="AU11" s="229" t="s">
        <v>909</v>
      </c>
      <c r="AV11" s="229" t="s">
        <v>910</v>
      </c>
      <c r="AW11" s="229" t="s">
        <v>911</v>
      </c>
      <c r="AX11" s="229" t="s">
        <v>912</v>
      </c>
      <c r="AY11" s="229" t="s">
        <v>913</v>
      </c>
      <c r="AZ11" s="229" t="s">
        <v>914</v>
      </c>
      <c r="BA11" s="229" t="s">
        <v>915</v>
      </c>
    </row>
    <row r="12" spans="1:56">
      <c r="A12" s="263"/>
      <c r="B12" s="264" t="s">
        <v>160</v>
      </c>
      <c r="C12" s="226">
        <f>SUBTOTAL(9,C13:C46)</f>
        <v>661008</v>
      </c>
      <c r="D12" s="226">
        <f t="shared" ref="D12:AJ12" si="0">SUBTOTAL(9,D13:D46)</f>
        <v>512816</v>
      </c>
      <c r="E12" s="226">
        <f t="shared" si="0"/>
        <v>148192</v>
      </c>
      <c r="F12" s="226">
        <f t="shared" si="0"/>
        <v>288518</v>
      </c>
      <c r="G12" s="226">
        <f t="shared" si="0"/>
        <v>228626</v>
      </c>
      <c r="H12" s="226">
        <f t="shared" si="0"/>
        <v>162551</v>
      </c>
      <c r="I12" s="226">
        <f t="shared" si="0"/>
        <v>66075</v>
      </c>
      <c r="J12" s="226">
        <f t="shared" si="0"/>
        <v>59892</v>
      </c>
      <c r="K12" s="226">
        <f t="shared" si="0"/>
        <v>59892</v>
      </c>
      <c r="L12" s="226">
        <f t="shared" si="0"/>
        <v>0</v>
      </c>
      <c r="M12" s="226">
        <f>SUBTOTAL(9,M13:M46)</f>
        <v>372490</v>
      </c>
      <c r="N12" s="226">
        <f t="shared" si="0"/>
        <v>284190</v>
      </c>
      <c r="O12" s="226">
        <f t="shared" si="0"/>
        <v>164190</v>
      </c>
      <c r="P12" s="226">
        <f t="shared" si="0"/>
        <v>120000</v>
      </c>
      <c r="Q12" s="226">
        <f t="shared" si="0"/>
        <v>88300</v>
      </c>
      <c r="R12" s="226">
        <f t="shared" si="0"/>
        <v>88300</v>
      </c>
      <c r="S12" s="226">
        <f t="shared" si="0"/>
        <v>0</v>
      </c>
      <c r="T12" s="17">
        <f>SUBTOTAL(9,T13:T46)</f>
        <v>690045.38341299992</v>
      </c>
      <c r="U12" s="17">
        <f t="shared" si="0"/>
        <v>549396.58079599997</v>
      </c>
      <c r="V12" s="17">
        <f t="shared" si="0"/>
        <v>140648.80261700001</v>
      </c>
      <c r="W12" s="17">
        <f t="shared" si="0"/>
        <v>316977.92241899995</v>
      </c>
      <c r="X12" s="17">
        <f>SUBTOTAL(9,X13:X46)</f>
        <v>259669.26376999999</v>
      </c>
      <c r="Y12" s="17">
        <f t="shared" si="0"/>
        <v>194812.15677</v>
      </c>
      <c r="Z12" s="17">
        <f t="shared" si="0"/>
        <v>64857.107000000004</v>
      </c>
      <c r="AA12" s="17">
        <f t="shared" si="0"/>
        <v>57308.65864899999</v>
      </c>
      <c r="AB12" s="17">
        <f t="shared" si="0"/>
        <v>57308.65864899999</v>
      </c>
      <c r="AC12" s="17">
        <f t="shared" si="0"/>
        <v>0</v>
      </c>
      <c r="AD12" s="17">
        <f t="shared" si="0"/>
        <v>373067.46099400008</v>
      </c>
      <c r="AE12" s="17">
        <f t="shared" si="0"/>
        <v>289727.317026</v>
      </c>
      <c r="AF12" s="17">
        <f t="shared" si="0"/>
        <v>171747.95236900004</v>
      </c>
      <c r="AG12" s="17">
        <f t="shared" si="0"/>
        <v>117979.364657</v>
      </c>
      <c r="AH12" s="17">
        <f t="shared" si="0"/>
        <v>83340.143967999989</v>
      </c>
      <c r="AI12" s="17">
        <f t="shared" si="0"/>
        <v>83340.143967999989</v>
      </c>
      <c r="AJ12" s="17">
        <f t="shared" si="0"/>
        <v>0</v>
      </c>
      <c r="AK12" s="227">
        <f>T12/C12</f>
        <v>1.043928943996139</v>
      </c>
      <c r="AL12" s="227">
        <f t="shared" ref="AL12:AZ23" si="1">U12/D12</f>
        <v>1.0713327602804903</v>
      </c>
      <c r="AM12" s="227">
        <f t="shared" si="1"/>
        <v>0.94909848451333412</v>
      </c>
      <c r="AN12" s="227">
        <f t="shared" si="1"/>
        <v>1.0986417569059814</v>
      </c>
      <c r="AO12" s="227">
        <f t="shared" si="1"/>
        <v>1.1357818610744184</v>
      </c>
      <c r="AP12" s="227">
        <f t="shared" si="1"/>
        <v>1.1984679071183812</v>
      </c>
      <c r="AQ12" s="227"/>
      <c r="AR12" s="227">
        <f t="shared" si="1"/>
        <v>0.95686667082415</v>
      </c>
      <c r="AS12" s="227">
        <f t="shared" si="1"/>
        <v>0.95686667082415</v>
      </c>
      <c r="AT12" s="227"/>
      <c r="AU12" s="227">
        <f t="shared" si="1"/>
        <v>1.001550272474429</v>
      </c>
      <c r="AV12" s="227">
        <f t="shared" si="1"/>
        <v>1.0194845597170907</v>
      </c>
      <c r="AW12" s="227">
        <f t="shared" si="1"/>
        <v>1.0460317459589503</v>
      </c>
      <c r="AX12" s="227"/>
      <c r="AY12" s="227">
        <f t="shared" si="1"/>
        <v>0.94382949001132488</v>
      </c>
      <c r="AZ12" s="227">
        <f t="shared" si="1"/>
        <v>0.94382949001132488</v>
      </c>
      <c r="BA12" s="227"/>
    </row>
    <row r="13" spans="1:56">
      <c r="A13" s="238" t="s">
        <v>28</v>
      </c>
      <c r="B13" s="234" t="s">
        <v>536</v>
      </c>
      <c r="C13" s="226">
        <f>SUBTOTAL(9,C14:C34)</f>
        <v>156888</v>
      </c>
      <c r="D13" s="226">
        <f t="shared" ref="D13:AJ13" si="2">SUBTOTAL(9,D14:D34)</f>
        <v>143516</v>
      </c>
      <c r="E13" s="226">
        <f t="shared" si="2"/>
        <v>13372</v>
      </c>
      <c r="F13" s="226">
        <f t="shared" si="2"/>
        <v>146898</v>
      </c>
      <c r="G13" s="226">
        <f t="shared" si="2"/>
        <v>140336</v>
      </c>
      <c r="H13" s="226">
        <f t="shared" si="2"/>
        <v>140336</v>
      </c>
      <c r="I13" s="226">
        <f t="shared" si="2"/>
        <v>0</v>
      </c>
      <c r="J13" s="226">
        <f t="shared" si="2"/>
        <v>6562</v>
      </c>
      <c r="K13" s="226">
        <f t="shared" si="2"/>
        <v>6562</v>
      </c>
      <c r="L13" s="226">
        <f t="shared" si="2"/>
        <v>0</v>
      </c>
      <c r="M13" s="226">
        <f t="shared" si="2"/>
        <v>9990</v>
      </c>
      <c r="N13" s="226">
        <f t="shared" si="2"/>
        <v>3180</v>
      </c>
      <c r="O13" s="226">
        <f t="shared" si="2"/>
        <v>3180</v>
      </c>
      <c r="P13" s="226">
        <f t="shared" si="2"/>
        <v>0</v>
      </c>
      <c r="Q13" s="226">
        <f t="shared" si="2"/>
        <v>6810</v>
      </c>
      <c r="R13" s="226">
        <f t="shared" si="2"/>
        <v>6810</v>
      </c>
      <c r="S13" s="226">
        <f t="shared" si="2"/>
        <v>0</v>
      </c>
      <c r="T13" s="226">
        <f t="shared" si="2"/>
        <v>165821.893644</v>
      </c>
      <c r="U13" s="226">
        <f t="shared" si="2"/>
        <v>153995.07577000002</v>
      </c>
      <c r="V13" s="226">
        <f>SUBTOTAL(9,V14:V34)</f>
        <v>11826.817874</v>
      </c>
      <c r="W13" s="226">
        <f t="shared" si="2"/>
        <v>160164.07577</v>
      </c>
      <c r="X13" s="226">
        <f t="shared" si="2"/>
        <v>153995.07577000002</v>
      </c>
      <c r="Y13" s="226">
        <f t="shared" si="2"/>
        <v>153995.07577000002</v>
      </c>
      <c r="Z13" s="226">
        <f t="shared" si="2"/>
        <v>0</v>
      </c>
      <c r="AA13" s="226">
        <f t="shared" si="2"/>
        <v>6169</v>
      </c>
      <c r="AB13" s="226">
        <f t="shared" si="2"/>
        <v>6169</v>
      </c>
      <c r="AC13" s="226">
        <f t="shared" si="2"/>
        <v>0</v>
      </c>
      <c r="AD13" s="226">
        <f t="shared" si="2"/>
        <v>5657.8178740000003</v>
      </c>
      <c r="AE13" s="226">
        <f t="shared" si="2"/>
        <v>0</v>
      </c>
      <c r="AF13" s="226">
        <f t="shared" si="2"/>
        <v>0</v>
      </c>
      <c r="AG13" s="226">
        <f t="shared" si="2"/>
        <v>0</v>
      </c>
      <c r="AH13" s="226">
        <f t="shared" si="2"/>
        <v>5657.8178740000003</v>
      </c>
      <c r="AI13" s="226">
        <f t="shared" si="2"/>
        <v>5657.8178740000003</v>
      </c>
      <c r="AJ13" s="226">
        <f t="shared" si="2"/>
        <v>0</v>
      </c>
      <c r="AK13" s="227">
        <f>T13/C13</f>
        <v>1.056944403931467</v>
      </c>
      <c r="AL13" s="227"/>
      <c r="AM13" s="227">
        <f t="shared" si="1"/>
        <v>0.88444644585701471</v>
      </c>
      <c r="AN13" s="227">
        <f t="shared" si="1"/>
        <v>1.0903080761480755</v>
      </c>
      <c r="AO13" s="227"/>
      <c r="AP13" s="227"/>
      <c r="AQ13" s="227"/>
      <c r="AR13" s="227">
        <f t="shared" si="1"/>
        <v>0.94010972264553494</v>
      </c>
      <c r="AS13" s="227">
        <f t="shared" si="1"/>
        <v>0.94010972264553494</v>
      </c>
      <c r="AT13" s="227"/>
      <c r="AU13" s="227">
        <f t="shared" si="1"/>
        <v>0.56634813553553554</v>
      </c>
      <c r="AV13" s="227"/>
      <c r="AW13" s="227"/>
      <c r="AX13" s="227"/>
      <c r="AY13" s="227">
        <f t="shared" si="1"/>
        <v>0.83081026049926587</v>
      </c>
      <c r="AZ13" s="227">
        <f t="shared" si="1"/>
        <v>0.83081026049926587</v>
      </c>
      <c r="BA13" s="227"/>
    </row>
    <row r="14" spans="1:56" ht="21.75" customHeight="1">
      <c r="A14" s="207">
        <v>1</v>
      </c>
      <c r="B14" s="265" t="s">
        <v>301</v>
      </c>
      <c r="C14" s="216">
        <f>D14+E14</f>
        <v>3890</v>
      </c>
      <c r="D14" s="217">
        <f>G14+N14</f>
        <v>0</v>
      </c>
      <c r="E14" s="217">
        <f>J14+Q14</f>
        <v>3890</v>
      </c>
      <c r="F14" s="217">
        <f>G14+J14</f>
        <v>1990</v>
      </c>
      <c r="G14" s="217">
        <f>H14+I14</f>
        <v>0</v>
      </c>
      <c r="H14" s="217"/>
      <c r="I14" s="217"/>
      <c r="J14" s="217">
        <f>K14+L14</f>
        <v>1990</v>
      </c>
      <c r="K14" s="217">
        <v>1990</v>
      </c>
      <c r="L14" s="217"/>
      <c r="M14" s="217">
        <f>N14+Q14</f>
        <v>1900</v>
      </c>
      <c r="N14" s="217">
        <f>O14+P14</f>
        <v>0</v>
      </c>
      <c r="O14" s="266"/>
      <c r="P14" s="217"/>
      <c r="Q14" s="217">
        <f>R14+S14</f>
        <v>1900</v>
      </c>
      <c r="R14" s="217">
        <v>1900</v>
      </c>
      <c r="S14" s="217"/>
      <c r="T14" s="219">
        <f>U14+V14</f>
        <v>3492</v>
      </c>
      <c r="U14" s="209">
        <f>X14+AE14</f>
        <v>0</v>
      </c>
      <c r="V14" s="209">
        <f>AA14+AH14</f>
        <v>3492</v>
      </c>
      <c r="W14" s="209">
        <f>X14+AA14</f>
        <v>1907</v>
      </c>
      <c r="X14" s="209">
        <f>Y14+Z14</f>
        <v>0</v>
      </c>
      <c r="Y14" s="267">
        <v>0</v>
      </c>
      <c r="Z14" s="209">
        <v>0</v>
      </c>
      <c r="AA14" s="209">
        <f>AB14+AC14</f>
        <v>1907</v>
      </c>
      <c r="AB14" s="209">
        <v>1907</v>
      </c>
      <c r="AC14" s="209">
        <v>0</v>
      </c>
      <c r="AD14" s="209">
        <f>AE14+AH14</f>
        <v>1585</v>
      </c>
      <c r="AE14" s="209">
        <f>AF14+AG14</f>
        <v>0</v>
      </c>
      <c r="AF14" s="209">
        <v>0</v>
      </c>
      <c r="AG14" s="209">
        <v>0</v>
      </c>
      <c r="AH14" s="209">
        <f>AI14+AJ14</f>
        <v>1585</v>
      </c>
      <c r="AI14" s="209">
        <v>1585</v>
      </c>
      <c r="AJ14" s="209">
        <v>0</v>
      </c>
      <c r="AK14" s="223">
        <f t="shared" ref="AK14:AK23" si="3">T14/C14</f>
        <v>0.89768637532133677</v>
      </c>
      <c r="AL14" s="223"/>
      <c r="AM14" s="223">
        <f t="shared" si="1"/>
        <v>0.89768637532133677</v>
      </c>
      <c r="AN14" s="223">
        <f t="shared" si="1"/>
        <v>0.95829145728643217</v>
      </c>
      <c r="AO14" s="223"/>
      <c r="AP14" s="223"/>
      <c r="AQ14" s="223"/>
      <c r="AR14" s="223">
        <f t="shared" si="1"/>
        <v>0.95829145728643217</v>
      </c>
      <c r="AS14" s="223">
        <f t="shared" si="1"/>
        <v>0.95829145728643217</v>
      </c>
      <c r="AT14" s="223"/>
      <c r="AU14" s="223">
        <f t="shared" si="1"/>
        <v>0.83421052631578951</v>
      </c>
      <c r="AV14" s="223"/>
      <c r="AW14" s="223"/>
      <c r="AX14" s="223"/>
      <c r="AY14" s="223">
        <f t="shared" si="1"/>
        <v>0.83421052631578951</v>
      </c>
      <c r="AZ14" s="223">
        <f t="shared" si="1"/>
        <v>0.83421052631578951</v>
      </c>
      <c r="BA14" s="223"/>
    </row>
    <row r="15" spans="1:56" ht="21.75" customHeight="1">
      <c r="A15" s="207">
        <v>2</v>
      </c>
      <c r="B15" s="265" t="s">
        <v>894</v>
      </c>
      <c r="C15" s="216">
        <f t="shared" ref="C15:C33" si="4">D15+E15</f>
        <v>1041</v>
      </c>
      <c r="D15" s="217">
        <f t="shared" ref="D15:D33" si="5">G15+N15</f>
        <v>0</v>
      </c>
      <c r="E15" s="217">
        <f t="shared" ref="E15:E33" si="6">J15+Q15</f>
        <v>1041</v>
      </c>
      <c r="F15" s="217">
        <f t="shared" ref="F15:F33" si="7">G15+J15</f>
        <v>841</v>
      </c>
      <c r="G15" s="217">
        <f t="shared" ref="G15:G33" si="8">H15+I15</f>
        <v>0</v>
      </c>
      <c r="H15" s="217"/>
      <c r="I15" s="217"/>
      <c r="J15" s="217">
        <f t="shared" ref="J15:J33" si="9">K15+L15</f>
        <v>841</v>
      </c>
      <c r="K15" s="217">
        <v>841</v>
      </c>
      <c r="L15" s="217"/>
      <c r="M15" s="217">
        <f t="shared" ref="M15:M33" si="10">N15+Q15</f>
        <v>200</v>
      </c>
      <c r="N15" s="217">
        <f t="shared" ref="N15:N33" si="11">O15+P15</f>
        <v>0</v>
      </c>
      <c r="O15" s="266"/>
      <c r="P15" s="217"/>
      <c r="Q15" s="217">
        <f t="shared" ref="Q15:Q33" si="12">R15+S15</f>
        <v>200</v>
      </c>
      <c r="R15" s="217">
        <v>200</v>
      </c>
      <c r="S15" s="217"/>
      <c r="T15" s="219">
        <f t="shared" ref="T15:T33" si="13">U15+V15</f>
        <v>662.89300000000003</v>
      </c>
      <c r="U15" s="209">
        <f t="shared" ref="U15:U33" si="14">X15+AE15</f>
        <v>0</v>
      </c>
      <c r="V15" s="209">
        <f t="shared" ref="V15:V33" si="15">AA15+AH15</f>
        <v>662.89300000000003</v>
      </c>
      <c r="W15" s="209">
        <f t="shared" ref="W15:W33" si="16">X15+AA15</f>
        <v>568</v>
      </c>
      <c r="X15" s="209">
        <f t="shared" ref="X15:X33" si="17">Y15+Z15</f>
        <v>0</v>
      </c>
      <c r="Y15" s="267">
        <v>0</v>
      </c>
      <c r="Z15" s="209">
        <v>0</v>
      </c>
      <c r="AA15" s="209">
        <f t="shared" ref="AA15:AA23" si="18">AB15+AC15</f>
        <v>568</v>
      </c>
      <c r="AB15" s="209">
        <v>568</v>
      </c>
      <c r="AC15" s="209">
        <v>0</v>
      </c>
      <c r="AD15" s="209">
        <f t="shared" ref="AD15:AD23" si="19">AE15+AH15</f>
        <v>94.893000000000001</v>
      </c>
      <c r="AE15" s="209">
        <f t="shared" ref="AE15:AE23" si="20">AF15+AG15</f>
        <v>0</v>
      </c>
      <c r="AF15" s="209">
        <v>0</v>
      </c>
      <c r="AG15" s="209">
        <v>0</v>
      </c>
      <c r="AH15" s="209">
        <f t="shared" ref="AH15:AH23" si="21">AI15+AJ15</f>
        <v>94.893000000000001</v>
      </c>
      <c r="AI15" s="209">
        <v>94.893000000000001</v>
      </c>
      <c r="AJ15" s="209">
        <v>0</v>
      </c>
      <c r="AK15" s="223">
        <f t="shared" si="3"/>
        <v>0.63678482228626321</v>
      </c>
      <c r="AL15" s="223"/>
      <c r="AM15" s="223">
        <f t="shared" si="1"/>
        <v>0.63678482228626321</v>
      </c>
      <c r="AN15" s="223">
        <f t="shared" si="1"/>
        <v>0.67538644470868014</v>
      </c>
      <c r="AO15" s="223"/>
      <c r="AP15" s="223"/>
      <c r="AQ15" s="223"/>
      <c r="AR15" s="223">
        <f t="shared" si="1"/>
        <v>0.67538644470868014</v>
      </c>
      <c r="AS15" s="223">
        <f t="shared" si="1"/>
        <v>0.67538644470868014</v>
      </c>
      <c r="AT15" s="223"/>
      <c r="AU15" s="223">
        <f t="shared" si="1"/>
        <v>0.47446500000000003</v>
      </c>
      <c r="AV15" s="223"/>
      <c r="AW15" s="223"/>
      <c r="AX15" s="223"/>
      <c r="AY15" s="223">
        <f t="shared" si="1"/>
        <v>0.47446500000000003</v>
      </c>
      <c r="AZ15" s="223">
        <f t="shared" si="1"/>
        <v>0.47446500000000003</v>
      </c>
      <c r="BA15" s="223"/>
      <c r="BD15" s="185"/>
    </row>
    <row r="16" spans="1:56" ht="24.75" customHeight="1">
      <c r="A16" s="207">
        <v>3</v>
      </c>
      <c r="B16" s="208" t="s">
        <v>615</v>
      </c>
      <c r="C16" s="216">
        <f t="shared" si="4"/>
        <v>3000</v>
      </c>
      <c r="D16" s="217">
        <f t="shared" si="5"/>
        <v>0</v>
      </c>
      <c r="E16" s="217">
        <f t="shared" si="6"/>
        <v>3000</v>
      </c>
      <c r="F16" s="217">
        <f t="shared" si="7"/>
        <v>0</v>
      </c>
      <c r="G16" s="217">
        <f t="shared" si="8"/>
        <v>0</v>
      </c>
      <c r="H16" s="217"/>
      <c r="I16" s="217"/>
      <c r="J16" s="217">
        <f t="shared" si="9"/>
        <v>0</v>
      </c>
      <c r="K16" s="217"/>
      <c r="L16" s="217"/>
      <c r="M16" s="217">
        <f t="shared" si="10"/>
        <v>3000</v>
      </c>
      <c r="N16" s="217">
        <f t="shared" si="11"/>
        <v>0</v>
      </c>
      <c r="O16" s="266"/>
      <c r="P16" s="217"/>
      <c r="Q16" s="217">
        <f t="shared" si="12"/>
        <v>3000</v>
      </c>
      <c r="R16" s="217">
        <v>3000</v>
      </c>
      <c r="S16" s="217"/>
      <c r="T16" s="219">
        <f t="shared" si="13"/>
        <v>2358.9488740000002</v>
      </c>
      <c r="U16" s="209">
        <f t="shared" si="14"/>
        <v>0</v>
      </c>
      <c r="V16" s="209">
        <f t="shared" si="15"/>
        <v>2358.9488740000002</v>
      </c>
      <c r="W16" s="209">
        <f t="shared" si="16"/>
        <v>0</v>
      </c>
      <c r="X16" s="209">
        <f t="shared" si="17"/>
        <v>0</v>
      </c>
      <c r="Y16" s="267"/>
      <c r="Z16" s="209"/>
      <c r="AA16" s="209">
        <f t="shared" si="18"/>
        <v>0</v>
      </c>
      <c r="AB16" s="209"/>
      <c r="AC16" s="209"/>
      <c r="AD16" s="209">
        <f t="shared" si="19"/>
        <v>2358.9488740000002</v>
      </c>
      <c r="AE16" s="209">
        <f t="shared" si="20"/>
        <v>0</v>
      </c>
      <c r="AF16" s="209"/>
      <c r="AG16" s="209"/>
      <c r="AH16" s="209">
        <f t="shared" si="21"/>
        <v>2358.9488740000002</v>
      </c>
      <c r="AI16" s="209">
        <v>2358.9488740000002</v>
      </c>
      <c r="AJ16" s="209"/>
      <c r="AK16" s="223">
        <f t="shared" si="3"/>
        <v>0.78631629133333336</v>
      </c>
      <c r="AL16" s="223"/>
      <c r="AM16" s="223">
        <f t="shared" si="1"/>
        <v>0.78631629133333336</v>
      </c>
      <c r="AN16" s="223"/>
      <c r="AO16" s="223"/>
      <c r="AP16" s="223"/>
      <c r="AQ16" s="223"/>
      <c r="AR16" s="223"/>
      <c r="AS16" s="223"/>
      <c r="AT16" s="223"/>
      <c r="AU16" s="223">
        <f t="shared" si="1"/>
        <v>0.78631629133333336</v>
      </c>
      <c r="AV16" s="223"/>
      <c r="AW16" s="223"/>
      <c r="AX16" s="223"/>
      <c r="AY16" s="223">
        <f t="shared" si="1"/>
        <v>0.78631629133333336</v>
      </c>
      <c r="AZ16" s="223">
        <f t="shared" si="1"/>
        <v>0.78631629133333336</v>
      </c>
      <c r="BA16" s="223"/>
    </row>
    <row r="17" spans="1:53" ht="25.5">
      <c r="A17" s="207">
        <v>4</v>
      </c>
      <c r="B17" s="208" t="s">
        <v>895</v>
      </c>
      <c r="C17" s="216">
        <f t="shared" si="4"/>
        <v>200</v>
      </c>
      <c r="D17" s="217">
        <f t="shared" si="5"/>
        <v>0</v>
      </c>
      <c r="E17" s="217">
        <f t="shared" si="6"/>
        <v>200</v>
      </c>
      <c r="F17" s="217">
        <f t="shared" si="7"/>
        <v>0</v>
      </c>
      <c r="G17" s="217">
        <f t="shared" si="8"/>
        <v>0</v>
      </c>
      <c r="H17" s="217"/>
      <c r="I17" s="217"/>
      <c r="J17" s="217">
        <f t="shared" si="9"/>
        <v>0</v>
      </c>
      <c r="K17" s="217"/>
      <c r="L17" s="217"/>
      <c r="M17" s="217">
        <f t="shared" si="10"/>
        <v>200</v>
      </c>
      <c r="N17" s="217">
        <f t="shared" si="11"/>
        <v>0</v>
      </c>
      <c r="O17" s="266"/>
      <c r="P17" s="217"/>
      <c r="Q17" s="217">
        <f t="shared" si="12"/>
        <v>200</v>
      </c>
      <c r="R17" s="217">
        <v>200</v>
      </c>
      <c r="S17" s="217"/>
      <c r="T17" s="219">
        <f t="shared" si="13"/>
        <v>199.934</v>
      </c>
      <c r="U17" s="209">
        <f t="shared" si="14"/>
        <v>0</v>
      </c>
      <c r="V17" s="209">
        <f t="shared" si="15"/>
        <v>199.934</v>
      </c>
      <c r="W17" s="209">
        <f t="shared" si="16"/>
        <v>0</v>
      </c>
      <c r="X17" s="209">
        <f t="shared" si="17"/>
        <v>0</v>
      </c>
      <c r="Y17" s="267">
        <v>0</v>
      </c>
      <c r="Z17" s="209">
        <v>0</v>
      </c>
      <c r="AA17" s="209">
        <f t="shared" si="18"/>
        <v>0</v>
      </c>
      <c r="AB17" s="209">
        <v>0</v>
      </c>
      <c r="AC17" s="209">
        <v>0</v>
      </c>
      <c r="AD17" s="209">
        <f t="shared" si="19"/>
        <v>199.934</v>
      </c>
      <c r="AE17" s="209">
        <f t="shared" si="20"/>
        <v>0</v>
      </c>
      <c r="AF17" s="209">
        <v>0</v>
      </c>
      <c r="AG17" s="209">
        <v>0</v>
      </c>
      <c r="AH17" s="209">
        <f t="shared" si="21"/>
        <v>199.934</v>
      </c>
      <c r="AI17" s="209">
        <v>199.934</v>
      </c>
      <c r="AJ17" s="209">
        <v>0</v>
      </c>
      <c r="AK17" s="223">
        <f t="shared" si="3"/>
        <v>0.99966999999999995</v>
      </c>
      <c r="AL17" s="223"/>
      <c r="AM17" s="223">
        <f t="shared" si="1"/>
        <v>0.99966999999999995</v>
      </c>
      <c r="AN17" s="223"/>
      <c r="AO17" s="223"/>
      <c r="AP17" s="223"/>
      <c r="AQ17" s="223"/>
      <c r="AR17" s="223"/>
      <c r="AS17" s="223"/>
      <c r="AT17" s="223"/>
      <c r="AU17" s="223">
        <f t="shared" si="1"/>
        <v>0.99966999999999995</v>
      </c>
      <c r="AV17" s="223"/>
      <c r="AW17" s="223"/>
      <c r="AX17" s="223"/>
      <c r="AY17" s="223">
        <f t="shared" si="1"/>
        <v>0.99966999999999995</v>
      </c>
      <c r="AZ17" s="223">
        <f t="shared" si="1"/>
        <v>0.99966999999999995</v>
      </c>
      <c r="BA17" s="223"/>
    </row>
    <row r="18" spans="1:53">
      <c r="A18" s="207">
        <v>5</v>
      </c>
      <c r="B18" s="265" t="s">
        <v>617</v>
      </c>
      <c r="C18" s="216">
        <f t="shared" si="4"/>
        <v>360</v>
      </c>
      <c r="D18" s="217">
        <f t="shared" si="5"/>
        <v>0</v>
      </c>
      <c r="E18" s="217">
        <f t="shared" si="6"/>
        <v>360</v>
      </c>
      <c r="F18" s="217">
        <f t="shared" si="7"/>
        <v>0</v>
      </c>
      <c r="G18" s="217">
        <f t="shared" si="8"/>
        <v>0</v>
      </c>
      <c r="H18" s="217"/>
      <c r="I18" s="217"/>
      <c r="J18" s="217">
        <f t="shared" si="9"/>
        <v>0</v>
      </c>
      <c r="K18" s="217"/>
      <c r="L18" s="217"/>
      <c r="M18" s="217">
        <f t="shared" si="10"/>
        <v>360</v>
      </c>
      <c r="N18" s="217">
        <f t="shared" si="11"/>
        <v>0</v>
      </c>
      <c r="O18" s="266"/>
      <c r="P18" s="217"/>
      <c r="Q18" s="217">
        <f t="shared" si="12"/>
        <v>360</v>
      </c>
      <c r="R18" s="217">
        <v>360</v>
      </c>
      <c r="S18" s="217"/>
      <c r="T18" s="219">
        <f t="shared" si="13"/>
        <v>355</v>
      </c>
      <c r="U18" s="209">
        <f t="shared" si="14"/>
        <v>0</v>
      </c>
      <c r="V18" s="209">
        <f t="shared" si="15"/>
        <v>355</v>
      </c>
      <c r="W18" s="209">
        <f t="shared" si="16"/>
        <v>0</v>
      </c>
      <c r="X18" s="209">
        <f t="shared" si="17"/>
        <v>0</v>
      </c>
      <c r="Y18" s="267">
        <v>0</v>
      </c>
      <c r="Z18" s="209">
        <v>0</v>
      </c>
      <c r="AA18" s="209">
        <f t="shared" si="18"/>
        <v>0</v>
      </c>
      <c r="AB18" s="209">
        <v>0</v>
      </c>
      <c r="AC18" s="209">
        <v>0</v>
      </c>
      <c r="AD18" s="209">
        <f t="shared" si="19"/>
        <v>355</v>
      </c>
      <c r="AE18" s="209">
        <f t="shared" si="20"/>
        <v>0</v>
      </c>
      <c r="AF18" s="209">
        <v>0</v>
      </c>
      <c r="AG18" s="209">
        <v>0</v>
      </c>
      <c r="AH18" s="209">
        <f t="shared" si="21"/>
        <v>355</v>
      </c>
      <c r="AI18" s="209">
        <v>355</v>
      </c>
      <c r="AJ18" s="209">
        <v>0</v>
      </c>
      <c r="AK18" s="223">
        <f t="shared" si="3"/>
        <v>0.98611111111111116</v>
      </c>
      <c r="AL18" s="223"/>
      <c r="AM18" s="223">
        <f t="shared" si="1"/>
        <v>0.98611111111111116</v>
      </c>
      <c r="AN18" s="223"/>
      <c r="AO18" s="223"/>
      <c r="AP18" s="223"/>
      <c r="AQ18" s="223"/>
      <c r="AR18" s="223"/>
      <c r="AS18" s="223"/>
      <c r="AT18" s="223"/>
      <c r="AU18" s="223">
        <f t="shared" si="1"/>
        <v>0.98611111111111116</v>
      </c>
      <c r="AV18" s="223"/>
      <c r="AW18" s="223"/>
      <c r="AX18" s="223"/>
      <c r="AY18" s="223">
        <f t="shared" si="1"/>
        <v>0.98611111111111116</v>
      </c>
      <c r="AZ18" s="223">
        <f t="shared" si="1"/>
        <v>0.98611111111111116</v>
      </c>
      <c r="BA18" s="223"/>
    </row>
    <row r="19" spans="1:53">
      <c r="A19" s="207">
        <v>6</v>
      </c>
      <c r="B19" s="265" t="s">
        <v>688</v>
      </c>
      <c r="C19" s="216">
        <f t="shared" si="4"/>
        <v>300</v>
      </c>
      <c r="D19" s="217">
        <f t="shared" si="5"/>
        <v>0</v>
      </c>
      <c r="E19" s="217">
        <f t="shared" si="6"/>
        <v>300</v>
      </c>
      <c r="F19" s="217">
        <f t="shared" si="7"/>
        <v>0</v>
      </c>
      <c r="G19" s="217">
        <f t="shared" si="8"/>
        <v>0</v>
      </c>
      <c r="H19" s="217"/>
      <c r="I19" s="217"/>
      <c r="J19" s="217">
        <f t="shared" si="9"/>
        <v>0</v>
      </c>
      <c r="K19" s="217"/>
      <c r="L19" s="217"/>
      <c r="M19" s="217">
        <f t="shared" si="10"/>
        <v>300</v>
      </c>
      <c r="N19" s="217">
        <f t="shared" si="11"/>
        <v>0</v>
      </c>
      <c r="O19" s="266"/>
      <c r="P19" s="217"/>
      <c r="Q19" s="217">
        <f t="shared" si="12"/>
        <v>300</v>
      </c>
      <c r="R19" s="217">
        <v>300</v>
      </c>
      <c r="S19" s="217"/>
      <c r="T19" s="219">
        <f t="shared" si="13"/>
        <v>273.39400000000001</v>
      </c>
      <c r="U19" s="209">
        <f t="shared" si="14"/>
        <v>0</v>
      </c>
      <c r="V19" s="209">
        <f t="shared" si="15"/>
        <v>273.39400000000001</v>
      </c>
      <c r="W19" s="209">
        <f t="shared" si="16"/>
        <v>0</v>
      </c>
      <c r="X19" s="209">
        <f t="shared" si="17"/>
        <v>0</v>
      </c>
      <c r="Y19" s="267">
        <v>0</v>
      </c>
      <c r="Z19" s="209">
        <v>0</v>
      </c>
      <c r="AA19" s="209">
        <f t="shared" si="18"/>
        <v>0</v>
      </c>
      <c r="AB19" s="209">
        <v>0</v>
      </c>
      <c r="AC19" s="209">
        <v>0</v>
      </c>
      <c r="AD19" s="209">
        <f t="shared" si="19"/>
        <v>273.39400000000001</v>
      </c>
      <c r="AE19" s="209">
        <f t="shared" si="20"/>
        <v>0</v>
      </c>
      <c r="AF19" s="209">
        <v>0</v>
      </c>
      <c r="AG19" s="209">
        <v>0</v>
      </c>
      <c r="AH19" s="209">
        <f t="shared" si="21"/>
        <v>273.39400000000001</v>
      </c>
      <c r="AI19" s="209">
        <v>273.39400000000001</v>
      </c>
      <c r="AJ19" s="209">
        <v>0</v>
      </c>
      <c r="AK19" s="223">
        <f t="shared" si="3"/>
        <v>0.91131333333333331</v>
      </c>
      <c r="AL19" s="223"/>
      <c r="AM19" s="223">
        <f t="shared" si="1"/>
        <v>0.91131333333333331</v>
      </c>
      <c r="AN19" s="223"/>
      <c r="AO19" s="223"/>
      <c r="AP19" s="223"/>
      <c r="AQ19" s="223"/>
      <c r="AR19" s="223"/>
      <c r="AS19" s="223"/>
      <c r="AT19" s="223"/>
      <c r="AU19" s="223">
        <f t="shared" si="1"/>
        <v>0.91131333333333331</v>
      </c>
      <c r="AV19" s="223"/>
      <c r="AW19" s="223"/>
      <c r="AX19" s="223"/>
      <c r="AY19" s="223">
        <f t="shared" si="1"/>
        <v>0.91131333333333331</v>
      </c>
      <c r="AZ19" s="223">
        <f t="shared" si="1"/>
        <v>0.91131333333333331</v>
      </c>
      <c r="BA19" s="223"/>
    </row>
    <row r="20" spans="1:53">
      <c r="A20" s="207">
        <v>7</v>
      </c>
      <c r="B20" s="265" t="s">
        <v>616</v>
      </c>
      <c r="C20" s="216">
        <f t="shared" si="4"/>
        <v>350</v>
      </c>
      <c r="D20" s="217">
        <f t="shared" si="5"/>
        <v>0</v>
      </c>
      <c r="E20" s="217">
        <f t="shared" si="6"/>
        <v>350</v>
      </c>
      <c r="F20" s="217">
        <f t="shared" si="7"/>
        <v>0</v>
      </c>
      <c r="G20" s="217">
        <f t="shared" si="8"/>
        <v>0</v>
      </c>
      <c r="H20" s="217"/>
      <c r="I20" s="217"/>
      <c r="J20" s="217">
        <f t="shared" si="9"/>
        <v>0</v>
      </c>
      <c r="K20" s="217"/>
      <c r="L20" s="217"/>
      <c r="M20" s="217">
        <f t="shared" si="10"/>
        <v>350</v>
      </c>
      <c r="N20" s="217">
        <f t="shared" si="11"/>
        <v>0</v>
      </c>
      <c r="O20" s="266"/>
      <c r="P20" s="217"/>
      <c r="Q20" s="217">
        <f t="shared" si="12"/>
        <v>350</v>
      </c>
      <c r="R20" s="217">
        <v>350</v>
      </c>
      <c r="S20" s="217"/>
      <c r="T20" s="219">
        <f t="shared" si="13"/>
        <v>290.64800000000002</v>
      </c>
      <c r="U20" s="209">
        <f t="shared" si="14"/>
        <v>0</v>
      </c>
      <c r="V20" s="209">
        <f t="shared" si="15"/>
        <v>290.64800000000002</v>
      </c>
      <c r="W20" s="209">
        <f t="shared" si="16"/>
        <v>0</v>
      </c>
      <c r="X20" s="209">
        <f t="shared" si="17"/>
        <v>0</v>
      </c>
      <c r="Y20" s="267">
        <v>0</v>
      </c>
      <c r="Z20" s="209">
        <v>0</v>
      </c>
      <c r="AA20" s="209">
        <f t="shared" si="18"/>
        <v>0</v>
      </c>
      <c r="AB20" s="209">
        <v>0</v>
      </c>
      <c r="AC20" s="209">
        <v>0</v>
      </c>
      <c r="AD20" s="209">
        <f t="shared" si="19"/>
        <v>290.64800000000002</v>
      </c>
      <c r="AE20" s="209">
        <f t="shared" si="20"/>
        <v>0</v>
      </c>
      <c r="AF20" s="209">
        <v>0</v>
      </c>
      <c r="AG20" s="209">
        <v>0</v>
      </c>
      <c r="AH20" s="209">
        <f t="shared" si="21"/>
        <v>290.64800000000002</v>
      </c>
      <c r="AI20" s="209">
        <v>290.64800000000002</v>
      </c>
      <c r="AJ20" s="209">
        <v>0</v>
      </c>
      <c r="AK20" s="223">
        <f t="shared" si="3"/>
        <v>0.83042285714285724</v>
      </c>
      <c r="AL20" s="223"/>
      <c r="AM20" s="223">
        <f t="shared" si="1"/>
        <v>0.83042285714285724</v>
      </c>
      <c r="AN20" s="223"/>
      <c r="AO20" s="223"/>
      <c r="AP20" s="223"/>
      <c r="AQ20" s="223"/>
      <c r="AR20" s="223"/>
      <c r="AS20" s="223"/>
      <c r="AT20" s="223"/>
      <c r="AU20" s="223">
        <f t="shared" si="1"/>
        <v>0.83042285714285724</v>
      </c>
      <c r="AV20" s="223"/>
      <c r="AW20" s="223"/>
      <c r="AX20" s="223"/>
      <c r="AY20" s="223">
        <f t="shared" si="1"/>
        <v>0.83042285714285724</v>
      </c>
      <c r="AZ20" s="223">
        <f t="shared" si="1"/>
        <v>0.83042285714285724</v>
      </c>
      <c r="BA20" s="223"/>
    </row>
    <row r="21" spans="1:53">
      <c r="A21" s="207">
        <v>8</v>
      </c>
      <c r="B21" s="265" t="s">
        <v>896</v>
      </c>
      <c r="C21" s="216">
        <f t="shared" si="4"/>
        <v>500</v>
      </c>
      <c r="D21" s="217">
        <f t="shared" si="5"/>
        <v>0</v>
      </c>
      <c r="E21" s="217">
        <f t="shared" si="6"/>
        <v>500</v>
      </c>
      <c r="F21" s="217">
        <f t="shared" si="7"/>
        <v>0</v>
      </c>
      <c r="G21" s="217">
        <f t="shared" si="8"/>
        <v>0</v>
      </c>
      <c r="H21" s="217"/>
      <c r="I21" s="217"/>
      <c r="J21" s="217">
        <f t="shared" si="9"/>
        <v>0</v>
      </c>
      <c r="K21" s="217"/>
      <c r="L21" s="217"/>
      <c r="M21" s="217">
        <f t="shared" si="10"/>
        <v>500</v>
      </c>
      <c r="N21" s="217">
        <f t="shared" si="11"/>
        <v>0</v>
      </c>
      <c r="O21" s="266"/>
      <c r="P21" s="217"/>
      <c r="Q21" s="217">
        <f t="shared" si="12"/>
        <v>500</v>
      </c>
      <c r="R21" s="217">
        <v>500</v>
      </c>
      <c r="S21" s="217"/>
      <c r="T21" s="219">
        <f t="shared" si="13"/>
        <v>500</v>
      </c>
      <c r="U21" s="209">
        <f t="shared" si="14"/>
        <v>0</v>
      </c>
      <c r="V21" s="209">
        <f t="shared" si="15"/>
        <v>500</v>
      </c>
      <c r="W21" s="209">
        <f t="shared" si="16"/>
        <v>0</v>
      </c>
      <c r="X21" s="209">
        <f t="shared" si="17"/>
        <v>0</v>
      </c>
      <c r="Y21" s="267">
        <v>0</v>
      </c>
      <c r="Z21" s="209">
        <v>0</v>
      </c>
      <c r="AA21" s="209">
        <f t="shared" si="18"/>
        <v>0</v>
      </c>
      <c r="AB21" s="209">
        <v>0</v>
      </c>
      <c r="AC21" s="209">
        <v>0</v>
      </c>
      <c r="AD21" s="209">
        <f t="shared" si="19"/>
        <v>500</v>
      </c>
      <c r="AE21" s="209">
        <f t="shared" si="20"/>
        <v>0</v>
      </c>
      <c r="AF21" s="209">
        <v>0</v>
      </c>
      <c r="AG21" s="209">
        <v>0</v>
      </c>
      <c r="AH21" s="209">
        <f t="shared" si="21"/>
        <v>500</v>
      </c>
      <c r="AI21" s="209">
        <v>500</v>
      </c>
      <c r="AJ21" s="209">
        <v>0</v>
      </c>
      <c r="AK21" s="223">
        <f t="shared" si="3"/>
        <v>1</v>
      </c>
      <c r="AL21" s="223"/>
      <c r="AM21" s="223">
        <f t="shared" si="1"/>
        <v>1</v>
      </c>
      <c r="AN21" s="223"/>
      <c r="AO21" s="223"/>
      <c r="AP21" s="223"/>
      <c r="AQ21" s="223"/>
      <c r="AR21" s="223"/>
      <c r="AS21" s="223"/>
      <c r="AT21" s="223"/>
      <c r="AU21" s="223">
        <f t="shared" si="1"/>
        <v>1</v>
      </c>
      <c r="AV21" s="223"/>
      <c r="AW21" s="223"/>
      <c r="AX21" s="223"/>
      <c r="AY21" s="223">
        <f t="shared" si="1"/>
        <v>1</v>
      </c>
      <c r="AZ21" s="223">
        <f t="shared" si="1"/>
        <v>1</v>
      </c>
      <c r="BA21" s="223"/>
    </row>
    <row r="22" spans="1:53">
      <c r="A22" s="207">
        <v>9</v>
      </c>
      <c r="B22" s="265" t="s">
        <v>361</v>
      </c>
      <c r="C22" s="216">
        <f t="shared" si="4"/>
        <v>3417</v>
      </c>
      <c r="D22" s="217">
        <f t="shared" si="5"/>
        <v>0</v>
      </c>
      <c r="E22" s="217">
        <f t="shared" si="6"/>
        <v>3417</v>
      </c>
      <c r="F22" s="217">
        <f t="shared" si="7"/>
        <v>3417</v>
      </c>
      <c r="G22" s="217">
        <f t="shared" si="8"/>
        <v>0</v>
      </c>
      <c r="H22" s="217"/>
      <c r="I22" s="217"/>
      <c r="J22" s="217">
        <f t="shared" si="9"/>
        <v>3417</v>
      </c>
      <c r="K22" s="217">
        <v>3417</v>
      </c>
      <c r="L22" s="217"/>
      <c r="M22" s="217">
        <f t="shared" si="10"/>
        <v>0</v>
      </c>
      <c r="N22" s="217">
        <f t="shared" si="11"/>
        <v>0</v>
      </c>
      <c r="O22" s="266"/>
      <c r="P22" s="217"/>
      <c r="Q22" s="217">
        <f t="shared" si="12"/>
        <v>0</v>
      </c>
      <c r="R22" s="217"/>
      <c r="S22" s="217"/>
      <c r="T22" s="219">
        <f t="shared" si="13"/>
        <v>3417</v>
      </c>
      <c r="U22" s="209">
        <f t="shared" si="14"/>
        <v>0</v>
      </c>
      <c r="V22" s="209">
        <f t="shared" si="15"/>
        <v>3417</v>
      </c>
      <c r="W22" s="209">
        <f t="shared" si="16"/>
        <v>3417</v>
      </c>
      <c r="X22" s="209">
        <f t="shared" si="17"/>
        <v>0</v>
      </c>
      <c r="Y22" s="267">
        <v>0</v>
      </c>
      <c r="Z22" s="209">
        <v>0</v>
      </c>
      <c r="AA22" s="209">
        <f t="shared" si="18"/>
        <v>3417</v>
      </c>
      <c r="AB22" s="209">
        <v>3417</v>
      </c>
      <c r="AC22" s="209">
        <v>0</v>
      </c>
      <c r="AD22" s="209">
        <f t="shared" si="19"/>
        <v>0</v>
      </c>
      <c r="AE22" s="209">
        <f t="shared" si="20"/>
        <v>0</v>
      </c>
      <c r="AF22" s="209">
        <v>0</v>
      </c>
      <c r="AG22" s="209">
        <v>0</v>
      </c>
      <c r="AH22" s="209">
        <f t="shared" si="21"/>
        <v>0</v>
      </c>
      <c r="AI22" s="209">
        <v>0</v>
      </c>
      <c r="AJ22" s="209">
        <v>0</v>
      </c>
      <c r="AK22" s="223">
        <f t="shared" si="3"/>
        <v>1</v>
      </c>
      <c r="AL22" s="223"/>
      <c r="AM22" s="223">
        <f t="shared" si="1"/>
        <v>1</v>
      </c>
      <c r="AN22" s="223">
        <f t="shared" si="1"/>
        <v>1</v>
      </c>
      <c r="AO22" s="223"/>
      <c r="AP22" s="223"/>
      <c r="AQ22" s="223"/>
      <c r="AR22" s="223">
        <f t="shared" si="1"/>
        <v>1</v>
      </c>
      <c r="AS22" s="223">
        <f t="shared" si="1"/>
        <v>1</v>
      </c>
      <c r="AT22" s="223"/>
      <c r="AU22" s="223"/>
      <c r="AV22" s="223"/>
      <c r="AW22" s="223"/>
      <c r="AX22" s="223"/>
      <c r="AY22" s="223"/>
      <c r="AZ22" s="223"/>
      <c r="BA22" s="223"/>
    </row>
    <row r="23" spans="1:53" ht="25.5" customHeight="1">
      <c r="A23" s="207">
        <v>10</v>
      </c>
      <c r="B23" s="265" t="s">
        <v>897</v>
      </c>
      <c r="C23" s="216">
        <f t="shared" si="4"/>
        <v>314</v>
      </c>
      <c r="D23" s="217">
        <f t="shared" si="5"/>
        <v>0</v>
      </c>
      <c r="E23" s="217">
        <f t="shared" si="6"/>
        <v>314</v>
      </c>
      <c r="F23" s="217">
        <f t="shared" si="7"/>
        <v>314</v>
      </c>
      <c r="G23" s="217">
        <f t="shared" si="8"/>
        <v>0</v>
      </c>
      <c r="H23" s="217"/>
      <c r="I23" s="217"/>
      <c r="J23" s="217">
        <f t="shared" si="9"/>
        <v>314</v>
      </c>
      <c r="K23" s="217">
        <v>314</v>
      </c>
      <c r="L23" s="217"/>
      <c r="M23" s="217">
        <f t="shared" si="10"/>
        <v>0</v>
      </c>
      <c r="N23" s="217">
        <f t="shared" si="11"/>
        <v>0</v>
      </c>
      <c r="O23" s="266"/>
      <c r="P23" s="217"/>
      <c r="Q23" s="217">
        <f t="shared" si="12"/>
        <v>0</v>
      </c>
      <c r="R23" s="217"/>
      <c r="S23" s="217"/>
      <c r="T23" s="219">
        <f t="shared" si="13"/>
        <v>277</v>
      </c>
      <c r="U23" s="209">
        <f t="shared" si="14"/>
        <v>0</v>
      </c>
      <c r="V23" s="209">
        <f t="shared" si="15"/>
        <v>277</v>
      </c>
      <c r="W23" s="209">
        <f t="shared" si="16"/>
        <v>277</v>
      </c>
      <c r="X23" s="209">
        <f t="shared" si="17"/>
        <v>0</v>
      </c>
      <c r="Y23" s="267">
        <v>0</v>
      </c>
      <c r="Z23" s="209">
        <v>0</v>
      </c>
      <c r="AA23" s="209">
        <f t="shared" si="18"/>
        <v>277</v>
      </c>
      <c r="AB23" s="209">
        <v>277</v>
      </c>
      <c r="AC23" s="209">
        <v>0</v>
      </c>
      <c r="AD23" s="209">
        <f t="shared" si="19"/>
        <v>0</v>
      </c>
      <c r="AE23" s="209">
        <f t="shared" si="20"/>
        <v>0</v>
      </c>
      <c r="AF23" s="209">
        <v>0</v>
      </c>
      <c r="AG23" s="209">
        <v>0</v>
      </c>
      <c r="AH23" s="209">
        <f t="shared" si="21"/>
        <v>0</v>
      </c>
      <c r="AI23" s="209">
        <v>0</v>
      </c>
      <c r="AJ23" s="209">
        <v>0</v>
      </c>
      <c r="AK23" s="223">
        <f t="shared" si="3"/>
        <v>0.88216560509554143</v>
      </c>
      <c r="AL23" s="223"/>
      <c r="AM23" s="223">
        <f t="shared" si="1"/>
        <v>0.88216560509554143</v>
      </c>
      <c r="AN23" s="223">
        <f t="shared" si="1"/>
        <v>0.88216560509554143</v>
      </c>
      <c r="AO23" s="223"/>
      <c r="AP23" s="223"/>
      <c r="AQ23" s="223"/>
      <c r="AR23" s="223">
        <f t="shared" si="1"/>
        <v>0.88216560509554143</v>
      </c>
      <c r="AS23" s="223">
        <f t="shared" si="1"/>
        <v>0.88216560509554143</v>
      </c>
      <c r="AT23" s="223"/>
      <c r="AU23" s="223"/>
      <c r="AV23" s="223"/>
      <c r="AW23" s="223"/>
      <c r="AX23" s="223"/>
      <c r="AY23" s="223"/>
      <c r="AZ23" s="223"/>
      <c r="BA23" s="223"/>
    </row>
    <row r="24" spans="1:53">
      <c r="A24" s="207">
        <v>11</v>
      </c>
      <c r="B24" s="208" t="s">
        <v>898</v>
      </c>
      <c r="C24" s="216">
        <f t="shared" si="4"/>
        <v>0</v>
      </c>
      <c r="D24" s="217">
        <f>G24+N24</f>
        <v>0</v>
      </c>
      <c r="E24" s="217">
        <f t="shared" si="6"/>
        <v>0</v>
      </c>
      <c r="F24" s="217">
        <f t="shared" si="7"/>
        <v>0</v>
      </c>
      <c r="G24" s="217">
        <f t="shared" si="8"/>
        <v>0</v>
      </c>
      <c r="H24" s="217"/>
      <c r="I24" s="217"/>
      <c r="J24" s="217">
        <f t="shared" si="9"/>
        <v>0</v>
      </c>
      <c r="K24" s="217"/>
      <c r="L24" s="217"/>
      <c r="M24" s="217">
        <f t="shared" si="10"/>
        <v>0</v>
      </c>
      <c r="N24" s="217">
        <f t="shared" si="11"/>
        <v>0</v>
      </c>
      <c r="O24" s="266"/>
      <c r="P24" s="217"/>
      <c r="Q24" s="217">
        <f t="shared" si="12"/>
        <v>0</v>
      </c>
      <c r="R24" s="217"/>
      <c r="S24" s="217"/>
      <c r="T24" s="219">
        <f>U24+V24</f>
        <v>0</v>
      </c>
      <c r="U24" s="209">
        <f t="shared" si="14"/>
        <v>0</v>
      </c>
      <c r="V24" s="209">
        <f t="shared" si="15"/>
        <v>0</v>
      </c>
      <c r="W24" s="209">
        <f t="shared" si="16"/>
        <v>0</v>
      </c>
      <c r="X24" s="209">
        <f t="shared" si="17"/>
        <v>0</v>
      </c>
      <c r="Y24" s="220"/>
      <c r="Z24" s="220"/>
      <c r="AA24" s="220"/>
      <c r="AB24" s="220"/>
      <c r="AC24" s="220"/>
      <c r="AD24" s="220"/>
      <c r="AE24" s="220"/>
      <c r="AF24" s="222"/>
      <c r="AG24" s="220"/>
      <c r="AH24" s="220"/>
      <c r="AI24" s="220"/>
      <c r="AJ24" s="220"/>
      <c r="AK24" s="223"/>
      <c r="AL24" s="223"/>
      <c r="AM24" s="223"/>
      <c r="AN24" s="223"/>
      <c r="AO24" s="223"/>
      <c r="AP24" s="223"/>
      <c r="AQ24" s="223"/>
      <c r="AR24" s="223"/>
      <c r="AS24" s="223"/>
      <c r="AT24" s="223"/>
      <c r="AU24" s="223"/>
      <c r="AV24" s="223"/>
      <c r="AW24" s="223"/>
      <c r="AX24" s="223"/>
      <c r="AY24" s="223"/>
      <c r="AZ24" s="223"/>
      <c r="BA24" s="223"/>
    </row>
    <row r="25" spans="1:53">
      <c r="A25" s="207">
        <v>12</v>
      </c>
      <c r="B25" s="208" t="s">
        <v>657</v>
      </c>
      <c r="C25" s="216">
        <f t="shared" si="4"/>
        <v>0</v>
      </c>
      <c r="D25" s="217">
        <f t="shared" si="5"/>
        <v>0</v>
      </c>
      <c r="E25" s="217">
        <f t="shared" si="6"/>
        <v>0</v>
      </c>
      <c r="F25" s="217">
        <f t="shared" si="7"/>
        <v>0</v>
      </c>
      <c r="G25" s="217">
        <f t="shared" si="8"/>
        <v>0</v>
      </c>
      <c r="H25" s="217"/>
      <c r="I25" s="217"/>
      <c r="J25" s="217">
        <f t="shared" si="9"/>
        <v>0</v>
      </c>
      <c r="K25" s="217"/>
      <c r="L25" s="217"/>
      <c r="M25" s="217">
        <f t="shared" si="10"/>
        <v>0</v>
      </c>
      <c r="N25" s="217">
        <f t="shared" si="11"/>
        <v>0</v>
      </c>
      <c r="O25" s="266"/>
      <c r="P25" s="217"/>
      <c r="Q25" s="217">
        <f t="shared" si="12"/>
        <v>0</v>
      </c>
      <c r="R25" s="217"/>
      <c r="S25" s="217"/>
      <c r="T25" s="219">
        <f t="shared" si="13"/>
        <v>0</v>
      </c>
      <c r="U25" s="209">
        <f t="shared" si="14"/>
        <v>0</v>
      </c>
      <c r="V25" s="209">
        <f t="shared" si="15"/>
        <v>0</v>
      </c>
      <c r="W25" s="209">
        <f t="shared" si="16"/>
        <v>0</v>
      </c>
      <c r="X25" s="209">
        <f t="shared" si="17"/>
        <v>0</v>
      </c>
      <c r="Y25" s="220"/>
      <c r="Z25" s="220"/>
      <c r="AA25" s="220"/>
      <c r="AB25" s="220"/>
      <c r="AC25" s="220"/>
      <c r="AD25" s="220"/>
      <c r="AE25" s="220"/>
      <c r="AF25" s="222"/>
      <c r="AG25" s="220"/>
      <c r="AH25" s="220"/>
      <c r="AI25" s="220"/>
      <c r="AJ25" s="220"/>
      <c r="AK25" s="268"/>
      <c r="AL25" s="223"/>
      <c r="AM25" s="268"/>
      <c r="AN25" s="268"/>
      <c r="AO25" s="268"/>
      <c r="AP25" s="268"/>
      <c r="AQ25" s="268"/>
      <c r="AR25" s="268"/>
      <c r="AS25" s="268"/>
      <c r="AT25" s="268"/>
      <c r="AU25" s="268"/>
      <c r="AV25" s="268"/>
      <c r="AW25" s="268"/>
      <c r="AX25" s="268"/>
      <c r="AY25" s="268"/>
      <c r="AZ25" s="268"/>
      <c r="BA25" s="268"/>
    </row>
    <row r="26" spans="1:53">
      <c r="A26" s="207">
        <v>13</v>
      </c>
      <c r="B26" s="208" t="s">
        <v>658</v>
      </c>
      <c r="C26" s="216">
        <f t="shared" si="4"/>
        <v>0</v>
      </c>
      <c r="D26" s="217">
        <f t="shared" si="5"/>
        <v>0</v>
      </c>
      <c r="E26" s="217">
        <f t="shared" si="6"/>
        <v>0</v>
      </c>
      <c r="F26" s="217">
        <f t="shared" si="7"/>
        <v>0</v>
      </c>
      <c r="G26" s="217">
        <f t="shared" si="8"/>
        <v>0</v>
      </c>
      <c r="H26" s="217"/>
      <c r="I26" s="217"/>
      <c r="J26" s="217">
        <f t="shared" si="9"/>
        <v>0</v>
      </c>
      <c r="K26" s="217"/>
      <c r="L26" s="217"/>
      <c r="M26" s="217">
        <f t="shared" si="10"/>
        <v>0</v>
      </c>
      <c r="N26" s="217">
        <f t="shared" si="11"/>
        <v>0</v>
      </c>
      <c r="O26" s="266"/>
      <c r="P26" s="217"/>
      <c r="Q26" s="217">
        <f t="shared" si="12"/>
        <v>0</v>
      </c>
      <c r="R26" s="217"/>
      <c r="S26" s="217"/>
      <c r="T26" s="219">
        <f t="shared" si="13"/>
        <v>0</v>
      </c>
      <c r="U26" s="209">
        <f t="shared" si="14"/>
        <v>0</v>
      </c>
      <c r="V26" s="209">
        <f t="shared" si="15"/>
        <v>0</v>
      </c>
      <c r="W26" s="209">
        <f t="shared" si="16"/>
        <v>0</v>
      </c>
      <c r="X26" s="209">
        <f t="shared" si="17"/>
        <v>0</v>
      </c>
      <c r="Y26" s="220"/>
      <c r="Z26" s="220"/>
      <c r="AA26" s="220"/>
      <c r="AB26" s="220"/>
      <c r="AC26" s="220"/>
      <c r="AD26" s="220"/>
      <c r="AE26" s="220"/>
      <c r="AF26" s="222"/>
      <c r="AG26" s="220"/>
      <c r="AH26" s="220"/>
      <c r="AI26" s="220"/>
      <c r="AJ26" s="220"/>
      <c r="AK26" s="268"/>
      <c r="AL26" s="223"/>
      <c r="AM26" s="268"/>
      <c r="AN26" s="268"/>
      <c r="AO26" s="268"/>
      <c r="AP26" s="268"/>
      <c r="AQ26" s="268"/>
      <c r="AR26" s="268"/>
      <c r="AS26" s="268"/>
      <c r="AT26" s="268"/>
      <c r="AU26" s="268"/>
      <c r="AV26" s="268"/>
      <c r="AW26" s="268"/>
      <c r="AX26" s="268"/>
      <c r="AY26" s="268"/>
      <c r="AZ26" s="268"/>
      <c r="BA26" s="268"/>
    </row>
    <row r="27" spans="1:53">
      <c r="A27" s="207">
        <v>14</v>
      </c>
      <c r="B27" s="208" t="s">
        <v>659</v>
      </c>
      <c r="C27" s="216">
        <f t="shared" si="4"/>
        <v>0</v>
      </c>
      <c r="D27" s="217">
        <f t="shared" si="5"/>
        <v>0</v>
      </c>
      <c r="E27" s="217">
        <f t="shared" si="6"/>
        <v>0</v>
      </c>
      <c r="F27" s="217">
        <f t="shared" si="7"/>
        <v>0</v>
      </c>
      <c r="G27" s="217">
        <f t="shared" si="8"/>
        <v>0</v>
      </c>
      <c r="H27" s="217"/>
      <c r="I27" s="217"/>
      <c r="J27" s="217">
        <f t="shared" si="9"/>
        <v>0</v>
      </c>
      <c r="K27" s="217"/>
      <c r="L27" s="217"/>
      <c r="M27" s="217">
        <f t="shared" si="10"/>
        <v>0</v>
      </c>
      <c r="N27" s="217">
        <f t="shared" si="11"/>
        <v>0</v>
      </c>
      <c r="O27" s="266"/>
      <c r="P27" s="217"/>
      <c r="Q27" s="217">
        <f t="shared" si="12"/>
        <v>0</v>
      </c>
      <c r="R27" s="217"/>
      <c r="S27" s="217"/>
      <c r="T27" s="219">
        <f t="shared" si="13"/>
        <v>0</v>
      </c>
      <c r="U27" s="209">
        <f t="shared" si="14"/>
        <v>0</v>
      </c>
      <c r="V27" s="209">
        <f t="shared" si="15"/>
        <v>0</v>
      </c>
      <c r="W27" s="209">
        <f t="shared" si="16"/>
        <v>0</v>
      </c>
      <c r="X27" s="209">
        <f t="shared" si="17"/>
        <v>0</v>
      </c>
      <c r="Y27" s="220"/>
      <c r="Z27" s="220"/>
      <c r="AA27" s="220"/>
      <c r="AB27" s="220"/>
      <c r="AC27" s="220"/>
      <c r="AD27" s="220"/>
      <c r="AE27" s="220"/>
      <c r="AF27" s="222"/>
      <c r="AG27" s="220"/>
      <c r="AH27" s="220"/>
      <c r="AI27" s="220"/>
      <c r="AJ27" s="220"/>
      <c r="AK27" s="268"/>
      <c r="AL27" s="223"/>
      <c r="AM27" s="268"/>
      <c r="AN27" s="268"/>
      <c r="AO27" s="268"/>
      <c r="AP27" s="268"/>
      <c r="AQ27" s="268"/>
      <c r="AR27" s="268"/>
      <c r="AS27" s="268"/>
      <c r="AT27" s="268"/>
      <c r="AU27" s="268"/>
      <c r="AV27" s="268"/>
      <c r="AW27" s="268"/>
      <c r="AX27" s="268"/>
      <c r="AY27" s="268"/>
      <c r="AZ27" s="268"/>
      <c r="BA27" s="268"/>
    </row>
    <row r="28" spans="1:53">
      <c r="A28" s="207">
        <v>15</v>
      </c>
      <c r="B28" s="208" t="s">
        <v>664</v>
      </c>
      <c r="C28" s="216">
        <f t="shared" si="4"/>
        <v>20578</v>
      </c>
      <c r="D28" s="217">
        <f t="shared" si="5"/>
        <v>20578</v>
      </c>
      <c r="E28" s="217">
        <f t="shared" si="6"/>
        <v>0</v>
      </c>
      <c r="F28" s="217">
        <f t="shared" si="7"/>
        <v>20578</v>
      </c>
      <c r="G28" s="217">
        <f t="shared" si="8"/>
        <v>20578</v>
      </c>
      <c r="H28" s="217">
        <v>20578</v>
      </c>
      <c r="I28" s="218"/>
      <c r="J28" s="217">
        <f t="shared" si="9"/>
        <v>0</v>
      </c>
      <c r="K28" s="218"/>
      <c r="L28" s="218"/>
      <c r="M28" s="217">
        <f t="shared" si="10"/>
        <v>0</v>
      </c>
      <c r="N28" s="217">
        <f t="shared" si="11"/>
        <v>0</v>
      </c>
      <c r="O28" s="266"/>
      <c r="P28" s="218"/>
      <c r="Q28" s="217">
        <f t="shared" si="12"/>
        <v>0</v>
      </c>
      <c r="R28" s="218"/>
      <c r="S28" s="218"/>
      <c r="T28" s="219">
        <f t="shared" si="13"/>
        <v>29248.393</v>
      </c>
      <c r="U28" s="209">
        <f t="shared" si="14"/>
        <v>29248.393</v>
      </c>
      <c r="V28" s="209">
        <f t="shared" si="15"/>
        <v>0</v>
      </c>
      <c r="W28" s="209">
        <f t="shared" si="16"/>
        <v>29248.393</v>
      </c>
      <c r="X28" s="209">
        <f t="shared" si="17"/>
        <v>29248.393</v>
      </c>
      <c r="Y28" s="220">
        <v>29248.393</v>
      </c>
      <c r="Z28" s="221"/>
      <c r="AA28" s="221"/>
      <c r="AB28" s="221"/>
      <c r="AC28" s="221"/>
      <c r="AD28" s="220"/>
      <c r="AE28" s="220"/>
      <c r="AF28" s="222"/>
      <c r="AG28" s="221"/>
      <c r="AH28" s="221"/>
      <c r="AI28" s="221"/>
      <c r="AJ28" s="221"/>
      <c r="AK28" s="268"/>
      <c r="AL28" s="223">
        <f t="shared" ref="AL28:AP44" si="22">U28/D28</f>
        <v>1.4213428418699583</v>
      </c>
      <c r="AM28" s="268"/>
      <c r="AN28" s="268"/>
      <c r="AO28" s="268"/>
      <c r="AP28" s="268"/>
      <c r="AQ28" s="268"/>
      <c r="AR28" s="268"/>
      <c r="AS28" s="268"/>
      <c r="AT28" s="268"/>
      <c r="AU28" s="268"/>
      <c r="AV28" s="268"/>
      <c r="AW28" s="268"/>
      <c r="AX28" s="268"/>
      <c r="AY28" s="268"/>
      <c r="AZ28" s="268"/>
      <c r="BA28" s="268"/>
    </row>
    <row r="29" spans="1:53">
      <c r="A29" s="207">
        <v>16</v>
      </c>
      <c r="B29" s="208" t="s">
        <v>660</v>
      </c>
      <c r="C29" s="216">
        <f t="shared" si="4"/>
        <v>13840.550999999999</v>
      </c>
      <c r="D29" s="217">
        <f t="shared" si="5"/>
        <v>13840.550999999999</v>
      </c>
      <c r="E29" s="217">
        <f t="shared" si="6"/>
        <v>0</v>
      </c>
      <c r="F29" s="217">
        <f t="shared" si="7"/>
        <v>13840.550999999999</v>
      </c>
      <c r="G29" s="217">
        <f t="shared" si="8"/>
        <v>13840.550999999999</v>
      </c>
      <c r="H29" s="217">
        <v>13840.550999999999</v>
      </c>
      <c r="I29" s="218"/>
      <c r="J29" s="217">
        <f t="shared" si="9"/>
        <v>0</v>
      </c>
      <c r="K29" s="218"/>
      <c r="L29" s="218"/>
      <c r="M29" s="217">
        <f t="shared" si="10"/>
        <v>0</v>
      </c>
      <c r="N29" s="217">
        <f t="shared" si="11"/>
        <v>0</v>
      </c>
      <c r="O29" s="266"/>
      <c r="P29" s="218"/>
      <c r="Q29" s="217">
        <f t="shared" si="12"/>
        <v>0</v>
      </c>
      <c r="R29" s="218"/>
      <c r="S29" s="218"/>
      <c r="T29" s="219">
        <f t="shared" si="13"/>
        <v>13840.550999999999</v>
      </c>
      <c r="U29" s="209">
        <f t="shared" si="14"/>
        <v>13840.550999999999</v>
      </c>
      <c r="V29" s="209">
        <f t="shared" si="15"/>
        <v>0</v>
      </c>
      <c r="W29" s="209">
        <f t="shared" si="16"/>
        <v>13840.550999999999</v>
      </c>
      <c r="X29" s="209">
        <f t="shared" si="17"/>
        <v>13840.550999999999</v>
      </c>
      <c r="Y29" s="220">
        <v>13840.550999999999</v>
      </c>
      <c r="Z29" s="221"/>
      <c r="AA29" s="221"/>
      <c r="AB29" s="221"/>
      <c r="AC29" s="221"/>
      <c r="AD29" s="220"/>
      <c r="AE29" s="220"/>
      <c r="AF29" s="222"/>
      <c r="AG29" s="221"/>
      <c r="AH29" s="221"/>
      <c r="AI29" s="221"/>
      <c r="AJ29" s="221"/>
      <c r="AK29" s="268"/>
      <c r="AL29" s="223">
        <f t="shared" si="22"/>
        <v>1</v>
      </c>
      <c r="AM29" s="268"/>
      <c r="AN29" s="268"/>
      <c r="AO29" s="268"/>
      <c r="AP29" s="268"/>
      <c r="AQ29" s="268"/>
      <c r="AR29" s="268"/>
      <c r="AS29" s="268"/>
      <c r="AT29" s="268"/>
      <c r="AU29" s="268"/>
      <c r="AV29" s="268"/>
      <c r="AW29" s="268"/>
      <c r="AX29" s="268"/>
      <c r="AY29" s="268"/>
      <c r="AZ29" s="268"/>
      <c r="BA29" s="268"/>
    </row>
    <row r="30" spans="1:53">
      <c r="A30" s="207">
        <v>17</v>
      </c>
      <c r="B30" s="208" t="s">
        <v>661</v>
      </c>
      <c r="C30" s="216">
        <f t="shared" si="4"/>
        <v>14400</v>
      </c>
      <c r="D30" s="217">
        <f t="shared" si="5"/>
        <v>14400</v>
      </c>
      <c r="E30" s="217">
        <f t="shared" si="6"/>
        <v>0</v>
      </c>
      <c r="F30" s="217">
        <f t="shared" si="7"/>
        <v>14400</v>
      </c>
      <c r="G30" s="217">
        <f t="shared" si="8"/>
        <v>14400</v>
      </c>
      <c r="H30" s="217">
        <v>14400</v>
      </c>
      <c r="I30" s="218"/>
      <c r="J30" s="217">
        <f t="shared" si="9"/>
        <v>0</v>
      </c>
      <c r="K30" s="218"/>
      <c r="L30" s="218"/>
      <c r="M30" s="217">
        <f t="shared" si="10"/>
        <v>0</v>
      </c>
      <c r="N30" s="217">
        <f t="shared" si="11"/>
        <v>0</v>
      </c>
      <c r="O30" s="266"/>
      <c r="P30" s="218"/>
      <c r="Q30" s="217">
        <f t="shared" si="12"/>
        <v>0</v>
      </c>
      <c r="R30" s="218"/>
      <c r="S30" s="218"/>
      <c r="T30" s="219">
        <f t="shared" si="13"/>
        <v>14400</v>
      </c>
      <c r="U30" s="209">
        <f t="shared" si="14"/>
        <v>14400</v>
      </c>
      <c r="V30" s="209">
        <f t="shared" si="15"/>
        <v>0</v>
      </c>
      <c r="W30" s="209">
        <f t="shared" si="16"/>
        <v>14400</v>
      </c>
      <c r="X30" s="209">
        <f t="shared" si="17"/>
        <v>14400</v>
      </c>
      <c r="Y30" s="220">
        <v>14400</v>
      </c>
      <c r="Z30" s="221"/>
      <c r="AA30" s="221"/>
      <c r="AB30" s="221"/>
      <c r="AC30" s="221"/>
      <c r="AD30" s="220"/>
      <c r="AE30" s="220"/>
      <c r="AF30" s="222"/>
      <c r="AG30" s="221"/>
      <c r="AH30" s="221"/>
      <c r="AI30" s="221"/>
      <c r="AJ30" s="221"/>
      <c r="AK30" s="268"/>
      <c r="AL30" s="223">
        <f t="shared" si="22"/>
        <v>1</v>
      </c>
      <c r="AM30" s="268"/>
      <c r="AN30" s="268"/>
      <c r="AO30" s="268"/>
      <c r="AP30" s="268"/>
      <c r="AQ30" s="268"/>
      <c r="AR30" s="268"/>
      <c r="AS30" s="268"/>
      <c r="AT30" s="268"/>
      <c r="AU30" s="268"/>
      <c r="AV30" s="268"/>
      <c r="AW30" s="268"/>
      <c r="AX30" s="268"/>
      <c r="AY30" s="268"/>
      <c r="AZ30" s="268"/>
      <c r="BA30" s="268"/>
    </row>
    <row r="31" spans="1:53">
      <c r="A31" s="207">
        <v>18</v>
      </c>
      <c r="B31" s="208" t="s">
        <v>613</v>
      </c>
      <c r="C31" s="216">
        <f t="shared" si="4"/>
        <v>12503.449000000001</v>
      </c>
      <c r="D31" s="217">
        <f t="shared" si="5"/>
        <v>12503.449000000001</v>
      </c>
      <c r="E31" s="217">
        <f t="shared" si="6"/>
        <v>0</v>
      </c>
      <c r="F31" s="217">
        <f t="shared" si="7"/>
        <v>12503.449000000001</v>
      </c>
      <c r="G31" s="217">
        <f t="shared" si="8"/>
        <v>12503.449000000001</v>
      </c>
      <c r="H31" s="217">
        <v>12503.449000000001</v>
      </c>
      <c r="I31" s="218"/>
      <c r="J31" s="217">
        <f t="shared" si="9"/>
        <v>0</v>
      </c>
      <c r="K31" s="218"/>
      <c r="L31" s="218"/>
      <c r="M31" s="217">
        <f t="shared" si="10"/>
        <v>0</v>
      </c>
      <c r="N31" s="217">
        <f t="shared" si="11"/>
        <v>0</v>
      </c>
      <c r="O31" s="266"/>
      <c r="P31" s="218"/>
      <c r="Q31" s="217">
        <f t="shared" si="12"/>
        <v>0</v>
      </c>
      <c r="R31" s="218"/>
      <c r="S31" s="218"/>
      <c r="T31" s="219">
        <f t="shared" si="13"/>
        <v>12503.449000000001</v>
      </c>
      <c r="U31" s="209">
        <f t="shared" si="14"/>
        <v>12503.449000000001</v>
      </c>
      <c r="V31" s="209">
        <f t="shared" si="15"/>
        <v>0</v>
      </c>
      <c r="W31" s="209">
        <f t="shared" si="16"/>
        <v>12503.449000000001</v>
      </c>
      <c r="X31" s="209">
        <f t="shared" si="17"/>
        <v>12503.449000000001</v>
      </c>
      <c r="Y31" s="220">
        <v>12503.449000000001</v>
      </c>
      <c r="Z31" s="221"/>
      <c r="AA31" s="221"/>
      <c r="AB31" s="221"/>
      <c r="AC31" s="221"/>
      <c r="AD31" s="220"/>
      <c r="AE31" s="220"/>
      <c r="AF31" s="222"/>
      <c r="AG31" s="221"/>
      <c r="AH31" s="221"/>
      <c r="AI31" s="221"/>
      <c r="AJ31" s="221"/>
      <c r="AK31" s="269">
        <f>T31/C31</f>
        <v>1</v>
      </c>
      <c r="AL31" s="223">
        <f t="shared" si="22"/>
        <v>1</v>
      </c>
      <c r="AM31" s="269"/>
      <c r="AN31" s="269">
        <f t="shared" si="22"/>
        <v>1</v>
      </c>
      <c r="AO31" s="269">
        <f t="shared" si="22"/>
        <v>1</v>
      </c>
      <c r="AP31" s="269">
        <f t="shared" si="22"/>
        <v>1</v>
      </c>
      <c r="AQ31" s="269"/>
      <c r="AR31" s="269"/>
      <c r="AS31" s="269"/>
      <c r="AT31" s="269"/>
      <c r="AU31" s="269"/>
      <c r="AV31" s="269"/>
      <c r="AW31" s="269"/>
      <c r="AX31" s="269"/>
      <c r="AY31" s="269"/>
      <c r="AZ31" s="269"/>
      <c r="BA31" s="269"/>
    </row>
    <row r="32" spans="1:53">
      <c r="A32" s="207">
        <v>19</v>
      </c>
      <c r="B32" s="208" t="s">
        <v>663</v>
      </c>
      <c r="C32" s="216">
        <f t="shared" si="4"/>
        <v>41937</v>
      </c>
      <c r="D32" s="217">
        <f t="shared" si="5"/>
        <v>41937</v>
      </c>
      <c r="E32" s="217">
        <f t="shared" si="6"/>
        <v>0</v>
      </c>
      <c r="F32" s="217">
        <f t="shared" si="7"/>
        <v>41937</v>
      </c>
      <c r="G32" s="217">
        <f t="shared" si="8"/>
        <v>41937</v>
      </c>
      <c r="H32" s="217">
        <v>41937</v>
      </c>
      <c r="I32" s="218"/>
      <c r="J32" s="217">
        <f t="shared" si="9"/>
        <v>0</v>
      </c>
      <c r="K32" s="218"/>
      <c r="L32" s="218"/>
      <c r="M32" s="217">
        <f t="shared" si="10"/>
        <v>0</v>
      </c>
      <c r="N32" s="217">
        <f t="shared" si="11"/>
        <v>0</v>
      </c>
      <c r="O32" s="266"/>
      <c r="P32" s="218"/>
      <c r="Q32" s="217">
        <f t="shared" si="12"/>
        <v>0</v>
      </c>
      <c r="R32" s="218"/>
      <c r="S32" s="218"/>
      <c r="T32" s="219">
        <f t="shared" si="13"/>
        <v>36749.083999999995</v>
      </c>
      <c r="U32" s="209">
        <f t="shared" si="14"/>
        <v>36749.083999999995</v>
      </c>
      <c r="V32" s="209">
        <f t="shared" si="15"/>
        <v>0</v>
      </c>
      <c r="W32" s="209">
        <f t="shared" si="16"/>
        <v>36749.083999999995</v>
      </c>
      <c r="X32" s="209">
        <f t="shared" si="17"/>
        <v>36749.083999999995</v>
      </c>
      <c r="Y32" s="220">
        <v>36749.083999999995</v>
      </c>
      <c r="Z32" s="221"/>
      <c r="AA32" s="221"/>
      <c r="AB32" s="221"/>
      <c r="AC32" s="221"/>
      <c r="AD32" s="220"/>
      <c r="AE32" s="220"/>
      <c r="AF32" s="222"/>
      <c r="AG32" s="221"/>
      <c r="AH32" s="221"/>
      <c r="AI32" s="221"/>
      <c r="AJ32" s="221"/>
      <c r="AK32" s="223">
        <f>T32/C32</f>
        <v>0.87629262942032082</v>
      </c>
      <c r="AL32" s="223">
        <f t="shared" si="22"/>
        <v>0.87629262942032082</v>
      </c>
      <c r="AM32" s="223"/>
      <c r="AN32" s="223">
        <f t="shared" si="22"/>
        <v>0.87629262942032082</v>
      </c>
      <c r="AO32" s="223">
        <f t="shared" si="22"/>
        <v>0.87629262942032082</v>
      </c>
      <c r="AP32" s="223">
        <f t="shared" si="22"/>
        <v>0.87629262942032082</v>
      </c>
      <c r="AQ32" s="223"/>
      <c r="AR32" s="223"/>
      <c r="AS32" s="223"/>
      <c r="AT32" s="223"/>
      <c r="AU32" s="223"/>
      <c r="AV32" s="223"/>
      <c r="AW32" s="223"/>
      <c r="AX32" s="223"/>
      <c r="AY32" s="223"/>
      <c r="AZ32" s="223"/>
      <c r="BA32" s="223"/>
    </row>
    <row r="33" spans="1:55">
      <c r="A33" s="207">
        <v>20</v>
      </c>
      <c r="B33" s="208" t="s">
        <v>662</v>
      </c>
      <c r="C33" s="216">
        <f t="shared" si="4"/>
        <v>37077</v>
      </c>
      <c r="D33" s="217">
        <f t="shared" si="5"/>
        <v>37077</v>
      </c>
      <c r="E33" s="217">
        <f t="shared" si="6"/>
        <v>0</v>
      </c>
      <c r="F33" s="217">
        <f t="shared" si="7"/>
        <v>37077</v>
      </c>
      <c r="G33" s="217">
        <f t="shared" si="8"/>
        <v>37077</v>
      </c>
      <c r="H33" s="217">
        <v>37077</v>
      </c>
      <c r="I33" s="218"/>
      <c r="J33" s="217">
        <f t="shared" si="9"/>
        <v>0</v>
      </c>
      <c r="K33" s="218"/>
      <c r="L33" s="218"/>
      <c r="M33" s="217">
        <f t="shared" si="10"/>
        <v>0</v>
      </c>
      <c r="N33" s="217">
        <f t="shared" si="11"/>
        <v>0</v>
      </c>
      <c r="O33" s="266"/>
      <c r="P33" s="218"/>
      <c r="Q33" s="217">
        <f t="shared" si="12"/>
        <v>0</v>
      </c>
      <c r="R33" s="218"/>
      <c r="S33" s="218"/>
      <c r="T33" s="219">
        <f t="shared" si="13"/>
        <v>47253.598770000004</v>
      </c>
      <c r="U33" s="209">
        <f t="shared" si="14"/>
        <v>47253.598770000004</v>
      </c>
      <c r="V33" s="209">
        <f t="shared" si="15"/>
        <v>0</v>
      </c>
      <c r="W33" s="209">
        <f t="shared" si="16"/>
        <v>47253.598770000004</v>
      </c>
      <c r="X33" s="209">
        <f t="shared" si="17"/>
        <v>47253.598770000004</v>
      </c>
      <c r="Y33" s="220">
        <v>47253.598770000004</v>
      </c>
      <c r="Z33" s="221"/>
      <c r="AA33" s="221"/>
      <c r="AB33" s="221"/>
      <c r="AC33" s="221"/>
      <c r="AD33" s="220"/>
      <c r="AE33" s="220"/>
      <c r="AF33" s="222"/>
      <c r="AG33" s="221"/>
      <c r="AH33" s="221"/>
      <c r="AI33" s="221"/>
      <c r="AJ33" s="221"/>
      <c r="AK33" s="223">
        <f t="shared" ref="AK33:AO45" si="23">T33/C33</f>
        <v>1.2744720114896029</v>
      </c>
      <c r="AL33" s="223">
        <f t="shared" si="22"/>
        <v>1.2744720114896029</v>
      </c>
      <c r="AM33" s="223"/>
      <c r="AN33" s="223">
        <f t="shared" si="22"/>
        <v>1.2744720114896029</v>
      </c>
      <c r="AO33" s="223">
        <f t="shared" si="22"/>
        <v>1.2744720114896029</v>
      </c>
      <c r="AP33" s="223">
        <f t="shared" si="22"/>
        <v>1.2744720114896029</v>
      </c>
      <c r="AQ33" s="223"/>
      <c r="AR33" s="223"/>
      <c r="AS33" s="223"/>
      <c r="AT33" s="223"/>
      <c r="AU33" s="223"/>
      <c r="AV33" s="223"/>
      <c r="AW33" s="223"/>
      <c r="AX33" s="223"/>
      <c r="AY33" s="223"/>
      <c r="AZ33" s="223"/>
      <c r="BA33" s="223"/>
    </row>
    <row r="34" spans="1:55">
      <c r="A34" s="207">
        <v>21</v>
      </c>
      <c r="B34" s="265" t="s">
        <v>1045</v>
      </c>
      <c r="C34" s="216">
        <f t="shared" ref="C34" si="24">D34+E34</f>
        <v>3180</v>
      </c>
      <c r="D34" s="217">
        <f t="shared" ref="D34" si="25">G34+N34</f>
        <v>3180</v>
      </c>
      <c r="E34" s="217">
        <f t="shared" ref="E34" si="26">J34+Q34</f>
        <v>0</v>
      </c>
      <c r="F34" s="217">
        <f t="shared" ref="F34" si="27">G34+J34</f>
        <v>0</v>
      </c>
      <c r="G34" s="217">
        <f t="shared" ref="G34" si="28">H34+I34</f>
        <v>0</v>
      </c>
      <c r="H34" s="217"/>
      <c r="I34" s="218"/>
      <c r="J34" s="217">
        <f t="shared" ref="J34" si="29">K34+L34</f>
        <v>0</v>
      </c>
      <c r="K34" s="218"/>
      <c r="L34" s="218"/>
      <c r="M34" s="217">
        <f t="shared" ref="M34" si="30">N34+Q34</f>
        <v>3180</v>
      </c>
      <c r="N34" s="217">
        <f t="shared" ref="N34" si="31">O34+P34</f>
        <v>3180</v>
      </c>
      <c r="O34" s="266">
        <v>3180</v>
      </c>
      <c r="P34" s="218"/>
      <c r="Q34" s="217">
        <f t="shared" ref="Q34" si="32">R34+S34</f>
        <v>0</v>
      </c>
      <c r="R34" s="218"/>
      <c r="S34" s="218"/>
      <c r="T34" s="219">
        <f t="shared" ref="T34" si="33">U34+V34</f>
        <v>0</v>
      </c>
      <c r="U34" s="209">
        <f t="shared" ref="U34" si="34">X34+AE34</f>
        <v>0</v>
      </c>
      <c r="V34" s="209">
        <f t="shared" ref="V34" si="35">AA34+AH34</f>
        <v>0</v>
      </c>
      <c r="W34" s="209">
        <f t="shared" ref="W34" si="36">X34+AA34</f>
        <v>0</v>
      </c>
      <c r="X34" s="209">
        <f t="shared" ref="X34" si="37">Y34+Z34</f>
        <v>0</v>
      </c>
      <c r="Y34" s="220"/>
      <c r="Z34" s="221"/>
      <c r="AA34" s="221"/>
      <c r="AB34" s="221"/>
      <c r="AC34" s="221"/>
      <c r="AD34" s="220"/>
      <c r="AE34" s="220"/>
      <c r="AF34" s="222"/>
      <c r="AG34" s="221"/>
      <c r="AH34" s="221"/>
      <c r="AI34" s="221"/>
      <c r="AJ34" s="221"/>
      <c r="AK34" s="223">
        <f t="shared" ref="AK34" si="38">T34/C34</f>
        <v>0</v>
      </c>
      <c r="AL34" s="223"/>
      <c r="AM34" s="223"/>
      <c r="AN34" s="223"/>
      <c r="AO34" s="223"/>
      <c r="AP34" s="223"/>
      <c r="AQ34" s="223"/>
      <c r="AR34" s="223"/>
      <c r="AS34" s="223"/>
      <c r="AT34" s="223"/>
      <c r="AU34" s="223"/>
      <c r="AV34" s="223"/>
      <c r="AW34" s="223"/>
      <c r="AX34" s="223"/>
      <c r="AY34" s="223"/>
      <c r="AZ34" s="223"/>
      <c r="BA34" s="223"/>
    </row>
    <row r="35" spans="1:55" s="189" customFormat="1" ht="14.25">
      <c r="A35" s="238" t="s">
        <v>33</v>
      </c>
      <c r="B35" s="224" t="s">
        <v>666</v>
      </c>
      <c r="C35" s="225">
        <f t="shared" ref="C35:AJ35" si="39">SUBTOTAL(9,C36:C46)</f>
        <v>504120</v>
      </c>
      <c r="D35" s="226">
        <f t="shared" si="39"/>
        <v>369300</v>
      </c>
      <c r="E35" s="226">
        <f t="shared" si="39"/>
        <v>134820</v>
      </c>
      <c r="F35" s="226">
        <f t="shared" si="39"/>
        <v>141620</v>
      </c>
      <c r="G35" s="226">
        <f t="shared" si="39"/>
        <v>88290</v>
      </c>
      <c r="H35" s="226">
        <f t="shared" si="39"/>
        <v>22215</v>
      </c>
      <c r="I35" s="226">
        <f t="shared" si="39"/>
        <v>66075</v>
      </c>
      <c r="J35" s="226">
        <f t="shared" si="39"/>
        <v>53330</v>
      </c>
      <c r="K35" s="226">
        <f t="shared" si="39"/>
        <v>53330</v>
      </c>
      <c r="L35" s="226">
        <f t="shared" si="39"/>
        <v>0</v>
      </c>
      <c r="M35" s="226">
        <f t="shared" si="39"/>
        <v>362500</v>
      </c>
      <c r="N35" s="226">
        <f t="shared" si="39"/>
        <v>281010</v>
      </c>
      <c r="O35" s="226">
        <f t="shared" si="39"/>
        <v>161010</v>
      </c>
      <c r="P35" s="226">
        <f t="shared" si="39"/>
        <v>120000</v>
      </c>
      <c r="Q35" s="226">
        <f t="shared" si="39"/>
        <v>81490</v>
      </c>
      <c r="R35" s="226">
        <f t="shared" si="39"/>
        <v>81490</v>
      </c>
      <c r="S35" s="226">
        <f t="shared" si="39"/>
        <v>0</v>
      </c>
      <c r="T35" s="17">
        <f t="shared" si="39"/>
        <v>524223.48976900004</v>
      </c>
      <c r="U35" s="17">
        <f t="shared" si="39"/>
        <v>395401.50502599997</v>
      </c>
      <c r="V35" s="17">
        <f t="shared" si="39"/>
        <v>128821.98474300001</v>
      </c>
      <c r="W35" s="17">
        <f t="shared" si="39"/>
        <v>156813.84664899998</v>
      </c>
      <c r="X35" s="226">
        <f t="shared" si="39"/>
        <v>105674.18799999999</v>
      </c>
      <c r="Y35" s="226">
        <f t="shared" si="39"/>
        <v>40817.080999999998</v>
      </c>
      <c r="Z35" s="226">
        <f t="shared" si="39"/>
        <v>64857.107000000004</v>
      </c>
      <c r="AA35" s="17">
        <f t="shared" si="39"/>
        <v>51139.658649000005</v>
      </c>
      <c r="AB35" s="17">
        <f t="shared" si="39"/>
        <v>51139.658649000005</v>
      </c>
      <c r="AC35" s="17">
        <f t="shared" si="39"/>
        <v>0</v>
      </c>
      <c r="AD35" s="17">
        <f t="shared" si="39"/>
        <v>367409.64312000002</v>
      </c>
      <c r="AE35" s="17">
        <f t="shared" si="39"/>
        <v>289727.317026</v>
      </c>
      <c r="AF35" s="17">
        <f t="shared" si="39"/>
        <v>171747.95236900004</v>
      </c>
      <c r="AG35" s="17">
        <f t="shared" si="39"/>
        <v>117979.364657</v>
      </c>
      <c r="AH35" s="17">
        <f t="shared" si="39"/>
        <v>77682.326093999989</v>
      </c>
      <c r="AI35" s="17">
        <f t="shared" si="39"/>
        <v>77682.326093999989</v>
      </c>
      <c r="AJ35" s="17">
        <f t="shared" si="39"/>
        <v>0</v>
      </c>
      <c r="AK35" s="227">
        <f t="shared" si="23"/>
        <v>1.0398783816730144</v>
      </c>
      <c r="AL35" s="227">
        <f t="shared" si="22"/>
        <v>1.0706783239263471</v>
      </c>
      <c r="AM35" s="227">
        <f t="shared" si="22"/>
        <v>0.95551093860703162</v>
      </c>
      <c r="AN35" s="227">
        <f t="shared" si="22"/>
        <v>1.1072860235065667</v>
      </c>
      <c r="AO35" s="227">
        <f t="shared" si="22"/>
        <v>1.1968987201268546</v>
      </c>
      <c r="AP35" s="227">
        <f t="shared" si="22"/>
        <v>1.8373657888813864</v>
      </c>
      <c r="AQ35" s="227"/>
      <c r="AR35" s="227">
        <f t="shared" ref="AR35:AS45" si="40">AA35/J35</f>
        <v>0.95892853270204392</v>
      </c>
      <c r="AS35" s="227">
        <f t="shared" si="40"/>
        <v>0.95892853270204392</v>
      </c>
      <c r="AT35" s="227"/>
      <c r="AU35" s="227">
        <f t="shared" ref="AU35:AW45" si="41">AD35/M35</f>
        <v>1.0135438430896553</v>
      </c>
      <c r="AV35" s="227">
        <f t="shared" si="41"/>
        <v>1.0310213765559946</v>
      </c>
      <c r="AW35" s="227">
        <f t="shared" si="41"/>
        <v>1.0666912140177631</v>
      </c>
      <c r="AX35" s="227"/>
      <c r="AY35" s="227">
        <f t="shared" ref="AY35:AZ45" si="42">AH35/Q35</f>
        <v>0.95327434156338187</v>
      </c>
      <c r="AZ35" s="227">
        <f t="shared" si="42"/>
        <v>0.95327434156338187</v>
      </c>
      <c r="BA35" s="227"/>
    </row>
    <row r="36" spans="1:55">
      <c r="A36" s="207">
        <v>1</v>
      </c>
      <c r="B36" s="208" t="s">
        <v>898</v>
      </c>
      <c r="C36" s="216">
        <f>D36+E36</f>
        <v>10204</v>
      </c>
      <c r="D36" s="217">
        <f>G36+N36</f>
        <v>5077</v>
      </c>
      <c r="E36" s="217">
        <f>J36+Q36</f>
        <v>5127</v>
      </c>
      <c r="F36" s="217">
        <f>G36+J36</f>
        <v>4306</v>
      </c>
      <c r="G36" s="217">
        <f>H36+I36</f>
        <v>2818</v>
      </c>
      <c r="H36" s="217"/>
      <c r="I36" s="217">
        <f>2818</f>
        <v>2818</v>
      </c>
      <c r="J36" s="217">
        <f>K36+L36</f>
        <v>1488</v>
      </c>
      <c r="K36" s="217">
        <v>1488</v>
      </c>
      <c r="L36" s="217"/>
      <c r="M36" s="217">
        <f>N36+Q36</f>
        <v>5898</v>
      </c>
      <c r="N36" s="217">
        <f>O36+P36</f>
        <v>2259</v>
      </c>
      <c r="O36" s="217">
        <f>1139</f>
        <v>1139</v>
      </c>
      <c r="P36" s="217">
        <v>1120</v>
      </c>
      <c r="Q36" s="217">
        <f>R36+S36</f>
        <v>3639</v>
      </c>
      <c r="R36" s="217">
        <v>3639</v>
      </c>
      <c r="S36" s="217"/>
      <c r="T36" s="219">
        <f t="shared" ref="T36:T45" si="43">U36+V36</f>
        <v>8610.3853510000008</v>
      </c>
      <c r="U36" s="209">
        <f>X36+AE36</f>
        <v>4863.2721369999999</v>
      </c>
      <c r="V36" s="209">
        <f>AA36+AH36</f>
        <v>3747.113214</v>
      </c>
      <c r="W36" s="209">
        <f t="shared" ref="W36:W45" si="44">X36+AA36</f>
        <v>4268.8339999999998</v>
      </c>
      <c r="X36" s="217">
        <f>Y36+Z36</f>
        <v>2812.8339999999998</v>
      </c>
      <c r="Y36" s="217"/>
      <c r="Z36" s="217">
        <v>2812.8339999999998</v>
      </c>
      <c r="AA36" s="220">
        <f>AB36+AC36</f>
        <v>1456</v>
      </c>
      <c r="AB36" s="217">
        <f>1454+2</f>
        <v>1456</v>
      </c>
      <c r="AC36" s="220">
        <v>0</v>
      </c>
      <c r="AD36" s="220">
        <f>AE36+AH36</f>
        <v>4341.5513510000001</v>
      </c>
      <c r="AE36" s="220">
        <f>AF36+AG36</f>
        <v>2050.4381370000001</v>
      </c>
      <c r="AF36" s="222">
        <v>1004.525661</v>
      </c>
      <c r="AG36" s="220">
        <v>1045.912476</v>
      </c>
      <c r="AH36" s="209">
        <f t="shared" ref="AH36:AH45" si="45">AI36+AJ36</f>
        <v>2291.113214</v>
      </c>
      <c r="AI36" s="220">
        <v>2291.113214</v>
      </c>
      <c r="AJ36" s="220">
        <v>0</v>
      </c>
      <c r="AK36" s="223">
        <f t="shared" si="23"/>
        <v>0.84382451499412003</v>
      </c>
      <c r="AL36" s="223">
        <f t="shared" si="22"/>
        <v>0.9579027254284026</v>
      </c>
      <c r="AM36" s="223">
        <f t="shared" si="22"/>
        <v>0.7308588285547104</v>
      </c>
      <c r="AN36" s="223">
        <f t="shared" si="22"/>
        <v>0.99136878773803994</v>
      </c>
      <c r="AO36" s="223">
        <f t="shared" si="22"/>
        <v>0.9981667849538679</v>
      </c>
      <c r="AP36" s="223"/>
      <c r="AQ36" s="223"/>
      <c r="AR36" s="223">
        <f t="shared" si="40"/>
        <v>0.978494623655914</v>
      </c>
      <c r="AS36" s="223">
        <f t="shared" si="40"/>
        <v>0.978494623655914</v>
      </c>
      <c r="AT36" s="223"/>
      <c r="AU36" s="223">
        <f t="shared" si="41"/>
        <v>0.73610568853848768</v>
      </c>
      <c r="AV36" s="223">
        <f t="shared" si="41"/>
        <v>0.90767513811420986</v>
      </c>
      <c r="AW36" s="223">
        <f t="shared" si="41"/>
        <v>0.88193648902546096</v>
      </c>
      <c r="AX36" s="223"/>
      <c r="AY36" s="223">
        <f t="shared" si="42"/>
        <v>0.62959967408628748</v>
      </c>
      <c r="AZ36" s="223">
        <f t="shared" si="42"/>
        <v>0.62959967408628748</v>
      </c>
      <c r="BA36" s="223"/>
      <c r="BC36" s="185"/>
    </row>
    <row r="37" spans="1:55">
      <c r="A37" s="207">
        <v>2</v>
      </c>
      <c r="B37" s="208" t="s">
        <v>657</v>
      </c>
      <c r="C37" s="216">
        <f t="shared" ref="C37:C45" si="46">D37+E37</f>
        <v>27419</v>
      </c>
      <c r="D37" s="217">
        <f t="shared" ref="D37:D45" si="47">G37+N37</f>
        <v>19244</v>
      </c>
      <c r="E37" s="217">
        <f t="shared" ref="E37:E45" si="48">J37+Q37</f>
        <v>8175</v>
      </c>
      <c r="F37" s="217">
        <f t="shared" ref="F37:F45" si="49">G37+J37</f>
        <v>9001</v>
      </c>
      <c r="G37" s="217">
        <f t="shared" ref="G37:G45" si="50">H37+I37</f>
        <v>6205</v>
      </c>
      <c r="H37" s="217"/>
      <c r="I37" s="217">
        <f>3916+2289</f>
        <v>6205</v>
      </c>
      <c r="J37" s="217">
        <f t="shared" ref="J37:J45" si="51">K37+L37</f>
        <v>2796</v>
      </c>
      <c r="K37" s="217">
        <v>2796</v>
      </c>
      <c r="L37" s="217"/>
      <c r="M37" s="217">
        <f t="shared" ref="M37:M45" si="52">N37+Q37</f>
        <v>18418</v>
      </c>
      <c r="N37" s="217">
        <f t="shared" ref="N37:N45" si="53">O37+P37</f>
        <v>13039</v>
      </c>
      <c r="O37" s="217">
        <f>6539</f>
        <v>6539</v>
      </c>
      <c r="P37" s="217">
        <v>6500</v>
      </c>
      <c r="Q37" s="217">
        <f t="shared" ref="Q37:Q45" si="54">R37+S37</f>
        <v>5379</v>
      </c>
      <c r="R37" s="217">
        <v>5379</v>
      </c>
      <c r="S37" s="217"/>
      <c r="T37" s="219">
        <f t="shared" si="43"/>
        <v>28819.689087999999</v>
      </c>
      <c r="U37" s="209">
        <f t="shared" ref="U37:U45" si="55">X37+AE37</f>
        <v>21105.769130000001</v>
      </c>
      <c r="V37" s="209">
        <f t="shared" ref="V37:V45" si="56">AA37+AH37</f>
        <v>7713.9199580000004</v>
      </c>
      <c r="W37" s="209">
        <f t="shared" si="44"/>
        <v>8896.8184970000002</v>
      </c>
      <c r="X37" s="217">
        <f t="shared" ref="X37:X45" si="57">Y37+Z37</f>
        <v>6152</v>
      </c>
      <c r="Y37" s="217">
        <v>141.85599999999999</v>
      </c>
      <c r="Z37" s="217">
        <f>6152-141.856</f>
        <v>6010.1440000000002</v>
      </c>
      <c r="AA37" s="220">
        <f t="shared" ref="AA37:AA45" si="58">AB37+AC37</f>
        <v>2744.8184970000002</v>
      </c>
      <c r="AB37" s="217">
        <v>2744.8184970000002</v>
      </c>
      <c r="AC37" s="220">
        <v>0</v>
      </c>
      <c r="AD37" s="220">
        <f t="shared" ref="AD37:AD45" si="59">AE37+AH37</f>
        <v>19922.870590999999</v>
      </c>
      <c r="AE37" s="220">
        <f t="shared" ref="AE37:AE45" si="60">AF37+AG37</f>
        <v>14953.769130000001</v>
      </c>
      <c r="AF37" s="222">
        <v>8453.7691300000006</v>
      </c>
      <c r="AG37" s="220">
        <v>6500</v>
      </c>
      <c r="AH37" s="209">
        <f t="shared" si="45"/>
        <v>4969.1014610000002</v>
      </c>
      <c r="AI37" s="217">
        <v>4969.1014610000002</v>
      </c>
      <c r="AJ37" s="220">
        <v>0</v>
      </c>
      <c r="AK37" s="223">
        <f t="shared" si="23"/>
        <v>1.0510846160691492</v>
      </c>
      <c r="AL37" s="223">
        <f t="shared" si="22"/>
        <v>1.0967454339014757</v>
      </c>
      <c r="AM37" s="223">
        <f t="shared" si="22"/>
        <v>0.9435987716207952</v>
      </c>
      <c r="AN37" s="223">
        <f t="shared" si="22"/>
        <v>0.9884255634929453</v>
      </c>
      <c r="AO37" s="223">
        <f t="shared" si="22"/>
        <v>0.99145850120870271</v>
      </c>
      <c r="AP37" s="223"/>
      <c r="AQ37" s="223"/>
      <c r="AR37" s="223">
        <f t="shared" si="40"/>
        <v>0.98169474141630908</v>
      </c>
      <c r="AS37" s="223">
        <f t="shared" si="40"/>
        <v>0.98169474141630908</v>
      </c>
      <c r="AT37" s="223"/>
      <c r="AU37" s="223">
        <f t="shared" si="41"/>
        <v>1.0817065148767508</v>
      </c>
      <c r="AV37" s="223">
        <f t="shared" si="41"/>
        <v>1.1468493849221566</v>
      </c>
      <c r="AW37" s="223">
        <f t="shared" si="41"/>
        <v>1.292822928582352</v>
      </c>
      <c r="AX37" s="223"/>
      <c r="AY37" s="223">
        <f t="shared" si="42"/>
        <v>0.92379651626696413</v>
      </c>
      <c r="AZ37" s="223">
        <f t="shared" si="42"/>
        <v>0.92379651626696413</v>
      </c>
      <c r="BA37" s="223"/>
      <c r="BC37" s="185"/>
    </row>
    <row r="38" spans="1:55">
      <c r="A38" s="207">
        <v>3</v>
      </c>
      <c r="B38" s="208" t="s">
        <v>658</v>
      </c>
      <c r="C38" s="216">
        <f t="shared" si="46"/>
        <v>28598</v>
      </c>
      <c r="D38" s="217">
        <f t="shared" si="47"/>
        <v>20869</v>
      </c>
      <c r="E38" s="217">
        <f t="shared" si="48"/>
        <v>7729</v>
      </c>
      <c r="F38" s="217">
        <f t="shared" si="49"/>
        <v>7078</v>
      </c>
      <c r="G38" s="217">
        <f t="shared" si="50"/>
        <v>4972</v>
      </c>
      <c r="H38" s="217"/>
      <c r="I38" s="217">
        <f>3916+1056</f>
        <v>4972</v>
      </c>
      <c r="J38" s="217">
        <f t="shared" si="51"/>
        <v>2106</v>
      </c>
      <c r="K38" s="217">
        <v>2106</v>
      </c>
      <c r="L38" s="217"/>
      <c r="M38" s="217">
        <f t="shared" si="52"/>
        <v>21520</v>
      </c>
      <c r="N38" s="217">
        <f t="shared" si="53"/>
        <v>15897</v>
      </c>
      <c r="O38" s="217">
        <f>7947</f>
        <v>7947</v>
      </c>
      <c r="P38" s="217">
        <v>7950</v>
      </c>
      <c r="Q38" s="217">
        <f t="shared" si="54"/>
        <v>5623</v>
      </c>
      <c r="R38" s="217">
        <v>5623</v>
      </c>
      <c r="S38" s="217"/>
      <c r="T38" s="219">
        <f t="shared" si="43"/>
        <v>29212.401357999999</v>
      </c>
      <c r="U38" s="209">
        <f t="shared" si="55"/>
        <v>21518.327094</v>
      </c>
      <c r="V38" s="209">
        <f t="shared" si="56"/>
        <v>7694.0742639999999</v>
      </c>
      <c r="W38" s="209">
        <f t="shared" si="44"/>
        <v>7044.5002640000002</v>
      </c>
      <c r="X38" s="217">
        <f t="shared" si="57"/>
        <v>4971.1970000000001</v>
      </c>
      <c r="Y38" s="217">
        <v>8.7309999999999999</v>
      </c>
      <c r="Z38" s="217">
        <f>4971.197-8.731</f>
        <v>4962.4660000000003</v>
      </c>
      <c r="AA38" s="220">
        <f t="shared" si="58"/>
        <v>2073.3032640000001</v>
      </c>
      <c r="AB38" s="217">
        <v>2073.3032640000001</v>
      </c>
      <c r="AC38" s="220">
        <v>0</v>
      </c>
      <c r="AD38" s="220">
        <f t="shared" si="59"/>
        <v>22167.901094000001</v>
      </c>
      <c r="AE38" s="220">
        <f t="shared" si="60"/>
        <v>16547.130094</v>
      </c>
      <c r="AF38" s="222">
        <v>8617.9570939999994</v>
      </c>
      <c r="AG38" s="220">
        <v>7929.1729999999998</v>
      </c>
      <c r="AH38" s="209">
        <f t="shared" si="45"/>
        <v>5620.7709999999997</v>
      </c>
      <c r="AI38" s="217">
        <v>5620.7709999999997</v>
      </c>
      <c r="AJ38" s="220">
        <v>0</v>
      </c>
      <c r="AK38" s="223">
        <f t="shared" si="23"/>
        <v>1.0214840673473669</v>
      </c>
      <c r="AL38" s="223">
        <f t="shared" si="22"/>
        <v>1.031114432603383</v>
      </c>
      <c r="AM38" s="223">
        <f t="shared" si="22"/>
        <v>0.99548120895329273</v>
      </c>
      <c r="AN38" s="223">
        <f t="shared" si="22"/>
        <v>0.99526706188188763</v>
      </c>
      <c r="AO38" s="223">
        <f t="shared" si="22"/>
        <v>0.99983849557522131</v>
      </c>
      <c r="AP38" s="223"/>
      <c r="AQ38" s="223"/>
      <c r="AR38" s="223">
        <f t="shared" si="40"/>
        <v>0.98447448433048435</v>
      </c>
      <c r="AS38" s="223">
        <f t="shared" si="40"/>
        <v>0.98447448433048435</v>
      </c>
      <c r="AT38" s="223"/>
      <c r="AU38" s="223">
        <f t="shared" si="41"/>
        <v>1.0301069281598514</v>
      </c>
      <c r="AV38" s="223">
        <f t="shared" si="41"/>
        <v>1.0408964014593949</v>
      </c>
      <c r="AW38" s="223">
        <f t="shared" si="41"/>
        <v>1.0844289787341135</v>
      </c>
      <c r="AX38" s="223"/>
      <c r="AY38" s="223">
        <f t="shared" si="42"/>
        <v>0.99960359238840468</v>
      </c>
      <c r="AZ38" s="223">
        <f t="shared" si="42"/>
        <v>0.99960359238840468</v>
      </c>
      <c r="BA38" s="223"/>
      <c r="BC38" s="185"/>
    </row>
    <row r="39" spans="1:55">
      <c r="A39" s="207">
        <v>4</v>
      </c>
      <c r="B39" s="208" t="s">
        <v>659</v>
      </c>
      <c r="C39" s="216">
        <f t="shared" si="46"/>
        <v>40104</v>
      </c>
      <c r="D39" s="217">
        <f t="shared" si="47"/>
        <v>29837</v>
      </c>
      <c r="E39" s="217">
        <f t="shared" si="48"/>
        <v>10267</v>
      </c>
      <c r="F39" s="217">
        <f t="shared" si="49"/>
        <v>6384</v>
      </c>
      <c r="G39" s="217">
        <f t="shared" si="50"/>
        <v>4502</v>
      </c>
      <c r="H39" s="217"/>
      <c r="I39" s="217">
        <f>4502</f>
        <v>4502</v>
      </c>
      <c r="J39" s="217">
        <f t="shared" si="51"/>
        <v>1882</v>
      </c>
      <c r="K39" s="217">
        <v>1882</v>
      </c>
      <c r="L39" s="217"/>
      <c r="M39" s="217">
        <f t="shared" si="52"/>
        <v>33720</v>
      </c>
      <c r="N39" s="217">
        <f t="shared" si="53"/>
        <v>25335</v>
      </c>
      <c r="O39" s="217">
        <v>12685</v>
      </c>
      <c r="P39" s="217">
        <v>12650</v>
      </c>
      <c r="Q39" s="217">
        <f t="shared" si="54"/>
        <v>8385</v>
      </c>
      <c r="R39" s="217">
        <v>8385</v>
      </c>
      <c r="S39" s="217"/>
      <c r="T39" s="219">
        <f t="shared" si="43"/>
        <v>39810.102703000004</v>
      </c>
      <c r="U39" s="209">
        <f t="shared" si="55"/>
        <v>29886.291703000003</v>
      </c>
      <c r="V39" s="209">
        <f t="shared" si="56"/>
        <v>9923.8109999999997</v>
      </c>
      <c r="W39" s="209">
        <f t="shared" si="44"/>
        <v>6346.9329999999991</v>
      </c>
      <c r="X39" s="217">
        <f t="shared" si="57"/>
        <v>4476.2329999999993</v>
      </c>
      <c r="Y39" s="217">
        <v>53.311</v>
      </c>
      <c r="Z39" s="217">
        <v>4422.9219999999996</v>
      </c>
      <c r="AA39" s="220">
        <f t="shared" si="58"/>
        <v>1870.7</v>
      </c>
      <c r="AB39" s="217">
        <v>1870.7</v>
      </c>
      <c r="AC39" s="220">
        <v>0</v>
      </c>
      <c r="AD39" s="220">
        <f t="shared" si="59"/>
        <v>33463.169703</v>
      </c>
      <c r="AE39" s="220">
        <f t="shared" si="60"/>
        <v>25410.058703000002</v>
      </c>
      <c r="AF39" s="222">
        <v>13047.281703000001</v>
      </c>
      <c r="AG39" s="220">
        <v>12362.777</v>
      </c>
      <c r="AH39" s="209">
        <f t="shared" si="45"/>
        <v>8053.1109999999999</v>
      </c>
      <c r="AI39" s="217">
        <v>8053.1109999999999</v>
      </c>
      <c r="AJ39" s="220">
        <v>0</v>
      </c>
      <c r="AK39" s="223">
        <f t="shared" si="23"/>
        <v>0.99267162135946552</v>
      </c>
      <c r="AL39" s="223">
        <f t="shared" si="22"/>
        <v>1.0016520328116099</v>
      </c>
      <c r="AM39" s="223">
        <f t="shared" si="22"/>
        <v>0.96657358527320536</v>
      </c>
      <c r="AN39" s="223">
        <f t="shared" si="22"/>
        <v>0.99419376566416029</v>
      </c>
      <c r="AO39" s="223">
        <f t="shared" si="22"/>
        <v>0.99427654375832952</v>
      </c>
      <c r="AP39" s="223"/>
      <c r="AQ39" s="223"/>
      <c r="AR39" s="223">
        <f t="shared" si="40"/>
        <v>0.99399574920297562</v>
      </c>
      <c r="AS39" s="223">
        <f t="shared" si="40"/>
        <v>0.99399574920297562</v>
      </c>
      <c r="AT39" s="223"/>
      <c r="AU39" s="223">
        <f t="shared" si="41"/>
        <v>0.99238344314946614</v>
      </c>
      <c r="AV39" s="223">
        <f t="shared" si="41"/>
        <v>1.0029626486283798</v>
      </c>
      <c r="AW39" s="223">
        <f t="shared" si="41"/>
        <v>1.0285598504532913</v>
      </c>
      <c r="AX39" s="223"/>
      <c r="AY39" s="223">
        <f t="shared" si="42"/>
        <v>0.96041872391174721</v>
      </c>
      <c r="AZ39" s="223">
        <f t="shared" si="42"/>
        <v>0.96041872391174721</v>
      </c>
      <c r="BA39" s="223"/>
    </row>
    <row r="40" spans="1:55">
      <c r="A40" s="207">
        <v>5</v>
      </c>
      <c r="B40" s="208" t="s">
        <v>664</v>
      </c>
      <c r="C40" s="216">
        <f t="shared" si="46"/>
        <v>113463</v>
      </c>
      <c r="D40" s="217">
        <f t="shared" si="47"/>
        <v>83274</v>
      </c>
      <c r="E40" s="217">
        <f t="shared" si="48"/>
        <v>30189</v>
      </c>
      <c r="F40" s="217">
        <f t="shared" si="49"/>
        <v>48555</v>
      </c>
      <c r="G40" s="217">
        <f t="shared" si="50"/>
        <v>33711</v>
      </c>
      <c r="H40" s="217">
        <f>33711+20578-I40-H28</f>
        <v>22215</v>
      </c>
      <c r="I40" s="218">
        <f>11496</f>
        <v>11496</v>
      </c>
      <c r="J40" s="217">
        <f t="shared" si="51"/>
        <v>14844</v>
      </c>
      <c r="K40" s="217">
        <v>14844</v>
      </c>
      <c r="L40" s="218"/>
      <c r="M40" s="217">
        <f t="shared" si="52"/>
        <v>64908</v>
      </c>
      <c r="N40" s="217">
        <f t="shared" si="53"/>
        <v>49563</v>
      </c>
      <c r="O40" s="217">
        <f>24813</f>
        <v>24813</v>
      </c>
      <c r="P40" s="218">
        <v>24750</v>
      </c>
      <c r="Q40" s="217">
        <f t="shared" si="54"/>
        <v>15345</v>
      </c>
      <c r="R40" s="217">
        <v>15345</v>
      </c>
      <c r="S40" s="218"/>
      <c r="T40" s="219">
        <f t="shared" si="43"/>
        <v>124685.81051900001</v>
      </c>
      <c r="U40" s="209">
        <f t="shared" si="55"/>
        <v>95126.717000000004</v>
      </c>
      <c r="V40" s="209">
        <f t="shared" si="56"/>
        <v>29559.093519000002</v>
      </c>
      <c r="W40" s="209">
        <f t="shared" si="44"/>
        <v>59880.860410000001</v>
      </c>
      <c r="X40" s="217">
        <f t="shared" si="57"/>
        <v>45622.870999999999</v>
      </c>
      <c r="Y40" s="217">
        <f>194.767+29248.393+22166.318+9107.991+2669.81-Y28</f>
        <v>34138.885999999999</v>
      </c>
      <c r="Z40" s="218">
        <f>11678.752-194.767</f>
        <v>11483.985000000001</v>
      </c>
      <c r="AA40" s="220">
        <f t="shared" si="58"/>
        <v>14257.98941</v>
      </c>
      <c r="AB40" s="221">
        <v>14257.98941</v>
      </c>
      <c r="AC40" s="221">
        <v>0</v>
      </c>
      <c r="AD40" s="220">
        <f t="shared" si="59"/>
        <v>64804.950109000005</v>
      </c>
      <c r="AE40" s="220">
        <f t="shared" si="60"/>
        <v>49503.846000000005</v>
      </c>
      <c r="AF40" s="222">
        <v>24795.594000000001</v>
      </c>
      <c r="AG40" s="221">
        <v>24708.252</v>
      </c>
      <c r="AH40" s="209">
        <f t="shared" si="45"/>
        <v>15301.104109</v>
      </c>
      <c r="AI40" s="221">
        <v>15301.104109</v>
      </c>
      <c r="AJ40" s="221">
        <v>0</v>
      </c>
      <c r="AK40" s="223">
        <f t="shared" si="23"/>
        <v>1.0989116321532131</v>
      </c>
      <c r="AL40" s="223">
        <f t="shared" si="22"/>
        <v>1.142333945769388</v>
      </c>
      <c r="AM40" s="223">
        <f t="shared" si="22"/>
        <v>0.979134569512074</v>
      </c>
      <c r="AN40" s="223">
        <f t="shared" si="22"/>
        <v>1.2332583752445681</v>
      </c>
      <c r="AO40" s="223">
        <f t="shared" si="22"/>
        <v>1.3533526445373913</v>
      </c>
      <c r="AP40" s="223"/>
      <c r="AQ40" s="223"/>
      <c r="AR40" s="223">
        <f t="shared" si="40"/>
        <v>0.96052205672325519</v>
      </c>
      <c r="AS40" s="223">
        <f t="shared" si="40"/>
        <v>0.96052205672325519</v>
      </c>
      <c r="AT40" s="223"/>
      <c r="AU40" s="223">
        <f t="shared" si="41"/>
        <v>0.99841236995439708</v>
      </c>
      <c r="AV40" s="223">
        <f t="shared" si="41"/>
        <v>0.99880648871133715</v>
      </c>
      <c r="AW40" s="223">
        <f t="shared" si="41"/>
        <v>0.99929851287631488</v>
      </c>
      <c r="AX40" s="223"/>
      <c r="AY40" s="223">
        <f t="shared" si="42"/>
        <v>0.99713940104268495</v>
      </c>
      <c r="AZ40" s="223">
        <f t="shared" si="42"/>
        <v>0.99713940104268495</v>
      </c>
      <c r="BA40" s="223"/>
    </row>
    <row r="41" spans="1:55">
      <c r="A41" s="207">
        <v>6</v>
      </c>
      <c r="B41" s="208" t="s">
        <v>660</v>
      </c>
      <c r="C41" s="216">
        <f t="shared" si="46"/>
        <v>76883.448999999993</v>
      </c>
      <c r="D41" s="217">
        <f t="shared" si="47"/>
        <v>60939.449000000001</v>
      </c>
      <c r="E41" s="217">
        <f t="shared" si="48"/>
        <v>15944</v>
      </c>
      <c r="F41" s="217">
        <f t="shared" si="49"/>
        <v>14894.449000000001</v>
      </c>
      <c r="G41" s="217">
        <f t="shared" si="50"/>
        <v>10614.449000000001</v>
      </c>
      <c r="H41" s="217">
        <f>10614+13841-I41-H29</f>
        <v>0.44900000000052387</v>
      </c>
      <c r="I41" s="218">
        <f>9153+1461</f>
        <v>10614</v>
      </c>
      <c r="J41" s="217">
        <f t="shared" si="51"/>
        <v>4280</v>
      </c>
      <c r="K41" s="217">
        <v>4280</v>
      </c>
      <c r="L41" s="218"/>
      <c r="M41" s="217">
        <f t="shared" si="52"/>
        <v>61989</v>
      </c>
      <c r="N41" s="217">
        <f t="shared" si="53"/>
        <v>50325</v>
      </c>
      <c r="O41" s="217">
        <v>32025</v>
      </c>
      <c r="P41" s="218">
        <v>18300</v>
      </c>
      <c r="Q41" s="217">
        <f t="shared" si="54"/>
        <v>11664</v>
      </c>
      <c r="R41" s="217">
        <v>11664</v>
      </c>
      <c r="S41" s="218"/>
      <c r="T41" s="219">
        <f t="shared" si="43"/>
        <v>83283.56236299999</v>
      </c>
      <c r="U41" s="209">
        <f t="shared" si="55"/>
        <v>68046.769833999992</v>
      </c>
      <c r="V41" s="209">
        <f t="shared" si="56"/>
        <v>15236.792529</v>
      </c>
      <c r="W41" s="209">
        <f t="shared" si="44"/>
        <v>14559.859979000001</v>
      </c>
      <c r="X41" s="217">
        <f t="shared" si="57"/>
        <v>10620.26</v>
      </c>
      <c r="Y41" s="217">
        <f>48.98+13840.551-Y29</f>
        <v>48.979999999999563</v>
      </c>
      <c r="Z41" s="218">
        <f>10620.26-48.98</f>
        <v>10571.28</v>
      </c>
      <c r="AA41" s="220">
        <f t="shared" si="58"/>
        <v>3939.5999790000001</v>
      </c>
      <c r="AB41" s="221">
        <v>3939.5999790000001</v>
      </c>
      <c r="AC41" s="221">
        <v>0</v>
      </c>
      <c r="AD41" s="220">
        <f t="shared" si="59"/>
        <v>68723.702384000004</v>
      </c>
      <c r="AE41" s="220">
        <f t="shared" si="60"/>
        <v>57426.509833999997</v>
      </c>
      <c r="AF41" s="222">
        <v>39137.301078999997</v>
      </c>
      <c r="AG41" s="221">
        <v>18289.208755</v>
      </c>
      <c r="AH41" s="209">
        <f t="shared" si="45"/>
        <v>11297.19255</v>
      </c>
      <c r="AI41" s="221">
        <v>11297.19255</v>
      </c>
      <c r="AJ41" s="221">
        <v>0</v>
      </c>
      <c r="AK41" s="223">
        <f t="shared" si="23"/>
        <v>1.0832443581322684</v>
      </c>
      <c r="AL41" s="223">
        <f t="shared" si="22"/>
        <v>1.116629227054547</v>
      </c>
      <c r="AM41" s="223">
        <f t="shared" si="22"/>
        <v>0.95564428807074764</v>
      </c>
      <c r="AN41" s="223">
        <f t="shared" si="22"/>
        <v>0.97753599203300512</v>
      </c>
      <c r="AO41" s="223">
        <f t="shared" si="22"/>
        <v>1.0005474612954472</v>
      </c>
      <c r="AP41" s="223"/>
      <c r="AQ41" s="223"/>
      <c r="AR41" s="223">
        <f t="shared" si="40"/>
        <v>0.92046728481308415</v>
      </c>
      <c r="AS41" s="223">
        <f t="shared" si="40"/>
        <v>0.92046728481308415</v>
      </c>
      <c r="AT41" s="223"/>
      <c r="AU41" s="223">
        <f t="shared" si="41"/>
        <v>1.1086435074610013</v>
      </c>
      <c r="AV41" s="223">
        <f t="shared" si="41"/>
        <v>1.1411129624242424</v>
      </c>
      <c r="AW41" s="223">
        <f t="shared" si="41"/>
        <v>1.2220859041061669</v>
      </c>
      <c r="AX41" s="223"/>
      <c r="AY41" s="223">
        <f t="shared" si="42"/>
        <v>0.96855217335390942</v>
      </c>
      <c r="AZ41" s="223">
        <f t="shared" si="42"/>
        <v>0.96855217335390942</v>
      </c>
      <c r="BA41" s="223"/>
    </row>
    <row r="42" spans="1:55">
      <c r="A42" s="207">
        <v>7</v>
      </c>
      <c r="B42" s="208" t="s">
        <v>661</v>
      </c>
      <c r="C42" s="216">
        <f t="shared" si="46"/>
        <v>68405</v>
      </c>
      <c r="D42" s="217">
        <f t="shared" si="47"/>
        <v>53461</v>
      </c>
      <c r="E42" s="217">
        <f t="shared" si="48"/>
        <v>14944</v>
      </c>
      <c r="F42" s="217">
        <f t="shared" si="49"/>
        <v>10865</v>
      </c>
      <c r="G42" s="217">
        <f t="shared" si="50"/>
        <v>7775</v>
      </c>
      <c r="H42" s="217">
        <f>7775+14400-I42-H30</f>
        <v>0</v>
      </c>
      <c r="I42" s="218">
        <f>7049+726</f>
        <v>7775</v>
      </c>
      <c r="J42" s="217">
        <f t="shared" si="51"/>
        <v>3090</v>
      </c>
      <c r="K42" s="217">
        <v>3090</v>
      </c>
      <c r="L42" s="218"/>
      <c r="M42" s="217">
        <f t="shared" si="52"/>
        <v>57540</v>
      </c>
      <c r="N42" s="217">
        <f t="shared" si="53"/>
        <v>45686</v>
      </c>
      <c r="O42" s="217">
        <v>28566</v>
      </c>
      <c r="P42" s="218">
        <v>17120</v>
      </c>
      <c r="Q42" s="217">
        <f t="shared" si="54"/>
        <v>11854</v>
      </c>
      <c r="R42" s="217">
        <v>11854</v>
      </c>
      <c r="S42" s="218"/>
      <c r="T42" s="219">
        <f t="shared" si="43"/>
        <v>68203.261308000001</v>
      </c>
      <c r="U42" s="209">
        <f t="shared" si="55"/>
        <v>53786.147557999997</v>
      </c>
      <c r="V42" s="209">
        <f t="shared" si="56"/>
        <v>14417.11375</v>
      </c>
      <c r="W42" s="209">
        <f t="shared" si="44"/>
        <v>10967.198249999998</v>
      </c>
      <c r="X42" s="217">
        <f t="shared" si="57"/>
        <v>7886.1629999999986</v>
      </c>
      <c r="Y42" s="217">
        <f>154.121+14400-Y30</f>
        <v>154.12099999999919</v>
      </c>
      <c r="Z42" s="218">
        <f>7886.163-154.121</f>
        <v>7732.0419999999995</v>
      </c>
      <c r="AA42" s="220">
        <f t="shared" si="58"/>
        <v>3081.0352499999999</v>
      </c>
      <c r="AB42" s="221">
        <v>3081.0352499999999</v>
      </c>
      <c r="AC42" s="221">
        <v>0</v>
      </c>
      <c r="AD42" s="220">
        <f t="shared" si="59"/>
        <v>57236.063058</v>
      </c>
      <c r="AE42" s="220">
        <f t="shared" si="60"/>
        <v>45899.984557999996</v>
      </c>
      <c r="AF42" s="222">
        <v>28927.801557999999</v>
      </c>
      <c r="AG42" s="221">
        <v>16972.183000000001</v>
      </c>
      <c r="AH42" s="209">
        <f t="shared" si="45"/>
        <v>11336.0785</v>
      </c>
      <c r="AI42" s="221">
        <v>11336.0785</v>
      </c>
      <c r="AJ42" s="221">
        <v>0</v>
      </c>
      <c r="AK42" s="223">
        <f t="shared" si="23"/>
        <v>0.99705081950149843</v>
      </c>
      <c r="AL42" s="223">
        <f t="shared" si="22"/>
        <v>1.0060819580254765</v>
      </c>
      <c r="AM42" s="223">
        <f t="shared" si="22"/>
        <v>0.96474262245717346</v>
      </c>
      <c r="AN42" s="223">
        <f t="shared" si="22"/>
        <v>1.0094061895996316</v>
      </c>
      <c r="AO42" s="223">
        <f t="shared" si="22"/>
        <v>1.0142974919614147</v>
      </c>
      <c r="AP42" s="223"/>
      <c r="AQ42" s="223"/>
      <c r="AR42" s="223">
        <f t="shared" si="40"/>
        <v>0.99709878640776695</v>
      </c>
      <c r="AS42" s="223">
        <f t="shared" si="40"/>
        <v>0.99709878640776695</v>
      </c>
      <c r="AT42" s="223"/>
      <c r="AU42" s="223">
        <f t="shared" si="41"/>
        <v>0.99471781470281539</v>
      </c>
      <c r="AV42" s="223">
        <f t="shared" si="41"/>
        <v>1.0046838103138815</v>
      </c>
      <c r="AW42" s="223">
        <f t="shared" si="41"/>
        <v>1.0126654609675838</v>
      </c>
      <c r="AX42" s="223"/>
      <c r="AY42" s="223">
        <f t="shared" si="42"/>
        <v>0.95630829255947358</v>
      </c>
      <c r="AZ42" s="223">
        <f t="shared" si="42"/>
        <v>0.95630829255947358</v>
      </c>
      <c r="BA42" s="223"/>
    </row>
    <row r="43" spans="1:55">
      <c r="A43" s="207">
        <v>8</v>
      </c>
      <c r="B43" s="208" t="s">
        <v>613</v>
      </c>
      <c r="C43" s="216">
        <f t="shared" si="46"/>
        <v>32020.550999999999</v>
      </c>
      <c r="D43" s="217">
        <f t="shared" si="47"/>
        <v>23559.550999999999</v>
      </c>
      <c r="E43" s="217">
        <f t="shared" si="48"/>
        <v>8461</v>
      </c>
      <c r="F43" s="217">
        <f t="shared" si="49"/>
        <v>7732.5509999999995</v>
      </c>
      <c r="G43" s="217">
        <f t="shared" si="50"/>
        <v>5478.5509999999995</v>
      </c>
      <c r="H43" s="217">
        <f>5479+12503-I43-H31</f>
        <v>-0.44900000000052387</v>
      </c>
      <c r="I43" s="218">
        <f>4028+1451</f>
        <v>5479</v>
      </c>
      <c r="J43" s="217">
        <f t="shared" si="51"/>
        <v>2254</v>
      </c>
      <c r="K43" s="217">
        <v>2254</v>
      </c>
      <c r="L43" s="218"/>
      <c r="M43" s="217">
        <f t="shared" si="52"/>
        <v>24288</v>
      </c>
      <c r="N43" s="217">
        <f t="shared" si="53"/>
        <v>18081</v>
      </c>
      <c r="O43" s="217">
        <f>9081</f>
        <v>9081</v>
      </c>
      <c r="P43" s="218">
        <v>9000</v>
      </c>
      <c r="Q43" s="217">
        <f t="shared" si="54"/>
        <v>6207</v>
      </c>
      <c r="R43" s="217">
        <v>6207</v>
      </c>
      <c r="S43" s="218"/>
      <c r="T43" s="219">
        <f t="shared" si="43"/>
        <v>32091.530041999999</v>
      </c>
      <c r="U43" s="209">
        <f t="shared" si="55"/>
        <v>23749.823891</v>
      </c>
      <c r="V43" s="209">
        <f t="shared" si="56"/>
        <v>8341.7061510000003</v>
      </c>
      <c r="W43" s="209">
        <f t="shared" si="44"/>
        <v>7593.9841510000006</v>
      </c>
      <c r="X43" s="217">
        <f t="shared" si="57"/>
        <v>5356.93</v>
      </c>
      <c r="Y43" s="217">
        <f>12503.449+33.608-Y31</f>
        <v>33.608000000000175</v>
      </c>
      <c r="Z43" s="218">
        <f>5356.93-33.608</f>
        <v>5323.3220000000001</v>
      </c>
      <c r="AA43" s="220">
        <f t="shared" si="58"/>
        <v>2237.0541509999998</v>
      </c>
      <c r="AB43" s="221">
        <v>2237.0541509999998</v>
      </c>
      <c r="AC43" s="221">
        <v>0</v>
      </c>
      <c r="AD43" s="220">
        <f t="shared" si="59"/>
        <v>24497.545891000002</v>
      </c>
      <c r="AE43" s="220">
        <f t="shared" si="60"/>
        <v>18392.893891</v>
      </c>
      <c r="AF43" s="222">
        <v>9405.5239999999994</v>
      </c>
      <c r="AG43" s="221">
        <v>8987.3698910000003</v>
      </c>
      <c r="AH43" s="209">
        <f t="shared" si="45"/>
        <v>6104.652</v>
      </c>
      <c r="AI43" s="221">
        <v>6104.652</v>
      </c>
      <c r="AJ43" s="221">
        <v>0</v>
      </c>
      <c r="AK43" s="223">
        <f t="shared" si="23"/>
        <v>1.0022166714745164</v>
      </c>
      <c r="AL43" s="223">
        <f t="shared" si="22"/>
        <v>1.0080762528538851</v>
      </c>
      <c r="AM43" s="223">
        <f t="shared" si="22"/>
        <v>0.98590073880156015</v>
      </c>
      <c r="AN43" s="223">
        <f t="shared" si="22"/>
        <v>0.98208006012504812</v>
      </c>
      <c r="AO43" s="223">
        <f t="shared" si="22"/>
        <v>0.9778005169615106</v>
      </c>
      <c r="AP43" s="223"/>
      <c r="AQ43" s="223"/>
      <c r="AR43" s="223">
        <f t="shared" si="40"/>
        <v>0.99248187710736457</v>
      </c>
      <c r="AS43" s="223">
        <f t="shared" si="40"/>
        <v>0.99248187710736457</v>
      </c>
      <c r="AT43" s="223"/>
      <c r="AU43" s="223">
        <f t="shared" si="41"/>
        <v>1.0086275482131095</v>
      </c>
      <c r="AV43" s="223">
        <f t="shared" si="41"/>
        <v>1.0172498142248769</v>
      </c>
      <c r="AW43" s="223">
        <f t="shared" si="41"/>
        <v>1.0357365928862459</v>
      </c>
      <c r="AX43" s="223"/>
      <c r="AY43" s="223">
        <f t="shared" si="42"/>
        <v>0.98351087481875299</v>
      </c>
      <c r="AZ43" s="223">
        <f t="shared" si="42"/>
        <v>0.98351087481875299</v>
      </c>
      <c r="BA43" s="223"/>
      <c r="BC43" s="185"/>
    </row>
    <row r="44" spans="1:55">
      <c r="A44" s="207">
        <v>9</v>
      </c>
      <c r="B44" s="208" t="s">
        <v>663</v>
      </c>
      <c r="C44" s="216">
        <f t="shared" si="46"/>
        <v>61343</v>
      </c>
      <c r="D44" s="217">
        <f t="shared" si="47"/>
        <v>38935</v>
      </c>
      <c r="E44" s="217">
        <f t="shared" si="48"/>
        <v>22408</v>
      </c>
      <c r="F44" s="217">
        <f t="shared" si="49"/>
        <v>22979</v>
      </c>
      <c r="G44" s="217">
        <f t="shared" si="50"/>
        <v>9215</v>
      </c>
      <c r="H44" s="217">
        <f>9215+41937-I44-H32</f>
        <v>0</v>
      </c>
      <c r="I44" s="218">
        <f>7182+2033</f>
        <v>9215</v>
      </c>
      <c r="J44" s="217">
        <f t="shared" si="51"/>
        <v>13764</v>
      </c>
      <c r="K44" s="217">
        <v>13764</v>
      </c>
      <c r="L44" s="218"/>
      <c r="M44" s="217">
        <f t="shared" si="52"/>
        <v>38364</v>
      </c>
      <c r="N44" s="217">
        <f t="shared" si="53"/>
        <v>29720</v>
      </c>
      <c r="O44" s="217">
        <f>14870</f>
        <v>14870</v>
      </c>
      <c r="P44" s="218">
        <v>14850</v>
      </c>
      <c r="Q44" s="217">
        <f t="shared" si="54"/>
        <v>8644</v>
      </c>
      <c r="R44" s="217">
        <v>8644</v>
      </c>
      <c r="S44" s="218"/>
      <c r="T44" s="219">
        <f t="shared" si="43"/>
        <v>65058.031000000003</v>
      </c>
      <c r="U44" s="209">
        <f t="shared" si="55"/>
        <v>43733.778000000006</v>
      </c>
      <c r="V44" s="209">
        <f t="shared" si="56"/>
        <v>21324.253000000001</v>
      </c>
      <c r="W44" s="209">
        <f t="shared" si="44"/>
        <v>28449.439000000006</v>
      </c>
      <c r="X44" s="217">
        <f t="shared" si="57"/>
        <v>15207.870000000008</v>
      </c>
      <c r="Y44" s="217">
        <f>36749.084+6055-Y32</f>
        <v>6055.0000000000073</v>
      </c>
      <c r="Z44" s="218">
        <f>9152.87</f>
        <v>9152.8700000000008</v>
      </c>
      <c r="AA44" s="220">
        <f t="shared" si="58"/>
        <v>13241.569</v>
      </c>
      <c r="AB44" s="221">
        <v>13241.569</v>
      </c>
      <c r="AC44" s="221">
        <v>0</v>
      </c>
      <c r="AD44" s="220">
        <f t="shared" si="59"/>
        <v>36608.591999999997</v>
      </c>
      <c r="AE44" s="220">
        <f t="shared" si="60"/>
        <v>28525.907999999999</v>
      </c>
      <c r="AF44" s="222">
        <v>15077.276</v>
      </c>
      <c r="AG44" s="221">
        <v>13448.632</v>
      </c>
      <c r="AH44" s="209">
        <f t="shared" si="45"/>
        <v>8082.6840000000002</v>
      </c>
      <c r="AI44" s="221">
        <v>8082.6840000000002</v>
      </c>
      <c r="AJ44" s="221">
        <v>0</v>
      </c>
      <c r="AK44" s="223">
        <f t="shared" si="23"/>
        <v>1.0605616125719317</v>
      </c>
      <c r="AL44" s="223">
        <f t="shared" si="22"/>
        <v>1.1232510080904072</v>
      </c>
      <c r="AM44" s="223">
        <f t="shared" si="22"/>
        <v>0.95163571046054984</v>
      </c>
      <c r="AN44" s="223">
        <f t="shared" si="22"/>
        <v>1.238062535358371</v>
      </c>
      <c r="AO44" s="223">
        <f t="shared" si="22"/>
        <v>1.6503385784047757</v>
      </c>
      <c r="AP44" s="223"/>
      <c r="AQ44" s="223"/>
      <c r="AR44" s="223">
        <f t="shared" si="40"/>
        <v>0.96204366463237423</v>
      </c>
      <c r="AS44" s="223">
        <f t="shared" si="40"/>
        <v>0.96204366463237423</v>
      </c>
      <c r="AT44" s="223"/>
      <c r="AU44" s="223">
        <f t="shared" si="41"/>
        <v>0.954243353143572</v>
      </c>
      <c r="AV44" s="223">
        <f t="shared" si="41"/>
        <v>0.9598219380888291</v>
      </c>
      <c r="AW44" s="223">
        <f t="shared" si="41"/>
        <v>1.0139392064559516</v>
      </c>
      <c r="AX44" s="223"/>
      <c r="AY44" s="223">
        <f t="shared" si="42"/>
        <v>0.93506293382693195</v>
      </c>
      <c r="AZ44" s="223">
        <f t="shared" si="42"/>
        <v>0.93506293382693195</v>
      </c>
      <c r="BA44" s="223"/>
      <c r="BC44" s="185"/>
    </row>
    <row r="45" spans="1:55">
      <c r="A45" s="207">
        <v>10</v>
      </c>
      <c r="B45" s="208" t="s">
        <v>662</v>
      </c>
      <c r="C45" s="216">
        <f t="shared" si="46"/>
        <v>45680</v>
      </c>
      <c r="D45" s="217">
        <f t="shared" si="47"/>
        <v>34104</v>
      </c>
      <c r="E45" s="217">
        <f t="shared" si="48"/>
        <v>11576</v>
      </c>
      <c r="F45" s="217">
        <f t="shared" si="49"/>
        <v>9825</v>
      </c>
      <c r="G45" s="217">
        <f t="shared" si="50"/>
        <v>2999</v>
      </c>
      <c r="H45" s="217">
        <f>2999+37077-I45-H33</f>
        <v>0</v>
      </c>
      <c r="I45" s="218">
        <f>2999</f>
        <v>2999</v>
      </c>
      <c r="J45" s="217">
        <f t="shared" si="51"/>
        <v>6826</v>
      </c>
      <c r="K45" s="217">
        <v>6826</v>
      </c>
      <c r="L45" s="218"/>
      <c r="M45" s="217">
        <f t="shared" si="52"/>
        <v>35855</v>
      </c>
      <c r="N45" s="217">
        <f t="shared" si="53"/>
        <v>31105</v>
      </c>
      <c r="O45" s="217">
        <v>23345</v>
      </c>
      <c r="P45" s="218">
        <v>7760</v>
      </c>
      <c r="Q45" s="217">
        <f t="shared" si="54"/>
        <v>4750</v>
      </c>
      <c r="R45" s="217">
        <v>4750</v>
      </c>
      <c r="S45" s="218"/>
      <c r="T45" s="219">
        <f t="shared" si="43"/>
        <v>44448.716036999998</v>
      </c>
      <c r="U45" s="209">
        <f t="shared" si="55"/>
        <v>33584.608678999997</v>
      </c>
      <c r="V45" s="209">
        <f t="shared" si="56"/>
        <v>10864.107358000001</v>
      </c>
      <c r="W45" s="209">
        <f t="shared" si="44"/>
        <v>8805.4190979999967</v>
      </c>
      <c r="X45" s="217">
        <f t="shared" si="57"/>
        <v>2567.8299999999958</v>
      </c>
      <c r="Y45" s="217">
        <f>47253.59877+182.588-Y33</f>
        <v>182.5879999999961</v>
      </c>
      <c r="Z45" s="218">
        <f>2567.83-182.588</f>
        <v>2385.2419999999997</v>
      </c>
      <c r="AA45" s="220">
        <f t="shared" si="58"/>
        <v>6237.5890980000004</v>
      </c>
      <c r="AB45" s="221">
        <v>6237.5890980000004</v>
      </c>
      <c r="AC45" s="221">
        <v>0</v>
      </c>
      <c r="AD45" s="220">
        <f t="shared" si="59"/>
        <v>35643.296939</v>
      </c>
      <c r="AE45" s="220">
        <f t="shared" si="60"/>
        <v>31016.778678999999</v>
      </c>
      <c r="AF45" s="222">
        <v>23280.922144</v>
      </c>
      <c r="AG45" s="221">
        <v>7735.8565349999999</v>
      </c>
      <c r="AH45" s="209">
        <f t="shared" si="45"/>
        <v>4626.5182599999998</v>
      </c>
      <c r="AI45" s="221">
        <v>4626.5182599999998</v>
      </c>
      <c r="AJ45" s="221">
        <v>0</v>
      </c>
      <c r="AK45" s="223">
        <f t="shared" si="23"/>
        <v>0.97304544739492116</v>
      </c>
      <c r="AL45" s="223">
        <f t="shared" si="23"/>
        <v>0.98477036942880591</v>
      </c>
      <c r="AM45" s="223">
        <f t="shared" si="23"/>
        <v>0.9385027088804424</v>
      </c>
      <c r="AN45" s="223">
        <f t="shared" si="23"/>
        <v>0.8962258623918572</v>
      </c>
      <c r="AO45" s="223">
        <f t="shared" si="23"/>
        <v>0.8562287429143034</v>
      </c>
      <c r="AP45" s="223"/>
      <c r="AQ45" s="223"/>
      <c r="AR45" s="223">
        <f t="shared" si="40"/>
        <v>0.91379857866979197</v>
      </c>
      <c r="AS45" s="223">
        <f t="shared" si="40"/>
        <v>0.91379857866979197</v>
      </c>
      <c r="AT45" s="223"/>
      <c r="AU45" s="223">
        <f t="shared" si="41"/>
        <v>0.99409557771579971</v>
      </c>
      <c r="AV45" s="223">
        <f t="shared" si="41"/>
        <v>0.99716375756309272</v>
      </c>
      <c r="AW45" s="223">
        <f t="shared" si="41"/>
        <v>0.99725517858213752</v>
      </c>
      <c r="AX45" s="223"/>
      <c r="AY45" s="223">
        <f t="shared" si="42"/>
        <v>0.97400384421052633</v>
      </c>
      <c r="AZ45" s="223">
        <f t="shared" si="42"/>
        <v>0.97400384421052633</v>
      </c>
      <c r="BA45" s="223"/>
    </row>
    <row r="46" spans="1:55">
      <c r="A46" s="211"/>
      <c r="B46" s="270" t="s">
        <v>159</v>
      </c>
      <c r="C46" s="271"/>
      <c r="D46" s="236"/>
      <c r="E46" s="236"/>
      <c r="F46" s="236"/>
      <c r="G46" s="236"/>
      <c r="H46" s="236"/>
      <c r="I46" s="236"/>
      <c r="J46" s="236"/>
      <c r="K46" s="236"/>
      <c r="L46" s="236"/>
      <c r="M46" s="236"/>
      <c r="N46" s="236"/>
      <c r="O46" s="236"/>
      <c r="P46" s="236"/>
      <c r="Q46" s="236"/>
      <c r="R46" s="236"/>
      <c r="S46" s="236"/>
      <c r="T46" s="272"/>
      <c r="U46" s="273"/>
      <c r="V46" s="273"/>
      <c r="W46" s="273"/>
      <c r="X46" s="273"/>
      <c r="Y46" s="273"/>
      <c r="Z46" s="273"/>
      <c r="AA46" s="273"/>
      <c r="AB46" s="273"/>
      <c r="AC46" s="273"/>
      <c r="AD46" s="273"/>
      <c r="AE46" s="273"/>
      <c r="AF46" s="273"/>
      <c r="AG46" s="273"/>
      <c r="AH46" s="273"/>
      <c r="AI46" s="273"/>
      <c r="AJ46" s="273"/>
      <c r="AK46" s="274"/>
      <c r="AL46" s="275"/>
      <c r="AM46" s="275"/>
      <c r="AN46" s="275"/>
      <c r="AO46" s="275"/>
      <c r="AP46" s="275"/>
      <c r="AQ46" s="275"/>
      <c r="AR46" s="275"/>
      <c r="AS46" s="275"/>
      <c r="AT46" s="275"/>
      <c r="AU46" s="275"/>
      <c r="AV46" s="275"/>
      <c r="AW46" s="275"/>
      <c r="AX46" s="275"/>
      <c r="AY46" s="275"/>
      <c r="AZ46" s="275"/>
      <c r="BA46" s="275"/>
    </row>
    <row r="49" spans="3:3">
      <c r="C49" s="22"/>
    </row>
  </sheetData>
  <mergeCells count="47">
    <mergeCell ref="A7:A10"/>
    <mergeCell ref="B7:B10"/>
    <mergeCell ref="C7:S7"/>
    <mergeCell ref="T7:AJ7"/>
    <mergeCell ref="AK7:BA7"/>
    <mergeCell ref="C8:C10"/>
    <mergeCell ref="D8:E8"/>
    <mergeCell ref="F8:L8"/>
    <mergeCell ref="M8:S8"/>
    <mergeCell ref="T8:T10"/>
    <mergeCell ref="D9:D10"/>
    <mergeCell ref="E9:E10"/>
    <mergeCell ref="F9:F10"/>
    <mergeCell ref="G9:I9"/>
    <mergeCell ref="AN8:AT8"/>
    <mergeCell ref="AU8:BA8"/>
    <mergeCell ref="A1:B1"/>
    <mergeCell ref="Q1:S1"/>
    <mergeCell ref="A3:BA3"/>
    <mergeCell ref="A4:BA4"/>
    <mergeCell ref="AZ6:BA6"/>
    <mergeCell ref="AZ1:BA1"/>
    <mergeCell ref="W8:AC8"/>
    <mergeCell ref="AD8:AJ8"/>
    <mergeCell ref="AK8:AK10"/>
    <mergeCell ref="AL8:AM8"/>
    <mergeCell ref="U8:V8"/>
    <mergeCell ref="W9:W10"/>
    <mergeCell ref="X9:Z9"/>
    <mergeCell ref="AA9:AC9"/>
    <mergeCell ref="AD9:AD10"/>
    <mergeCell ref="V9:V10"/>
    <mergeCell ref="J9:L9"/>
    <mergeCell ref="M9:M10"/>
    <mergeCell ref="N9:P9"/>
    <mergeCell ref="Q9:S9"/>
    <mergeCell ref="U9:U10"/>
    <mergeCell ref="AR9:AT9"/>
    <mergeCell ref="AU9:AU10"/>
    <mergeCell ref="AV9:AX9"/>
    <mergeCell ref="AY9:BA9"/>
    <mergeCell ref="AE9:AG9"/>
    <mergeCell ref="AH9:AJ9"/>
    <mergeCell ref="AL9:AL10"/>
    <mergeCell ref="AM9:AM10"/>
    <mergeCell ref="AN9:AN10"/>
    <mergeCell ref="AO9:AQ9"/>
  </mergeCells>
  <dataValidations count="1">
    <dataValidation allowBlank="1" showInputMessage="1" showErrorMessage="1" prompt="ct 135" sqref="I35" xr:uid="{00000000-0002-0000-0B00-000000000000}"/>
  </dataValidations>
  <pageMargins left="0" right="0" top="0" bottom="0" header="0.31496062992125984" footer="0.31496062992125984"/>
  <pageSetup paperSize="9" scale="7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S29"/>
  <sheetViews>
    <sheetView workbookViewId="0">
      <selection activeCell="H7" sqref="H7:K7"/>
    </sheetView>
  </sheetViews>
  <sheetFormatPr defaultColWidth="7.75" defaultRowHeight="18.75"/>
  <cols>
    <col min="1" max="1" width="3.375" style="439" customWidth="1"/>
    <col min="2" max="2" width="37.375" style="439" customWidth="1"/>
    <col min="3" max="3" width="14.75" style="439" customWidth="1"/>
    <col min="4" max="4" width="12.125" style="439" customWidth="1"/>
    <col min="5" max="5" width="12.875" style="439" customWidth="1"/>
    <col min="6" max="6" width="10.75" style="439" customWidth="1"/>
    <col min="7" max="7" width="12.625" style="439" customWidth="1"/>
    <col min="8" max="8" width="10.75" style="439" customWidth="1"/>
    <col min="9" max="9" width="11.25" style="439" customWidth="1"/>
    <col min="10" max="11" width="10.75" style="439" customWidth="1"/>
    <col min="12" max="12" width="15.125" style="439" customWidth="1"/>
    <col min="13" max="13" width="7.75" style="439"/>
    <col min="14" max="14" width="8.375" style="439" bestFit="1" customWidth="1"/>
    <col min="15" max="256" width="7.75" style="439"/>
    <col min="257" max="257" width="3.375" style="439" customWidth="1"/>
    <col min="258" max="258" width="14.625" style="439" customWidth="1"/>
    <col min="259" max="268" width="10.75" style="439" customWidth="1"/>
    <col min="269" max="512" width="7.75" style="439"/>
    <col min="513" max="513" width="3.375" style="439" customWidth="1"/>
    <col min="514" max="514" width="14.625" style="439" customWidth="1"/>
    <col min="515" max="524" width="10.75" style="439" customWidth="1"/>
    <col min="525" max="768" width="7.75" style="439"/>
    <col min="769" max="769" width="3.375" style="439" customWidth="1"/>
    <col min="770" max="770" width="14.625" style="439" customWidth="1"/>
    <col min="771" max="780" width="10.75" style="439" customWidth="1"/>
    <col min="781" max="1024" width="7.75" style="439"/>
    <col min="1025" max="1025" width="3.375" style="439" customWidth="1"/>
    <col min="1026" max="1026" width="14.625" style="439" customWidth="1"/>
    <col min="1027" max="1036" width="10.75" style="439" customWidth="1"/>
    <col min="1037" max="1280" width="7.75" style="439"/>
    <col min="1281" max="1281" width="3.375" style="439" customWidth="1"/>
    <col min="1282" max="1282" width="14.625" style="439" customWidth="1"/>
    <col min="1283" max="1292" width="10.75" style="439" customWidth="1"/>
    <col min="1293" max="1536" width="7.75" style="439"/>
    <col min="1537" max="1537" width="3.375" style="439" customWidth="1"/>
    <col min="1538" max="1538" width="14.625" style="439" customWidth="1"/>
    <col min="1539" max="1548" width="10.75" style="439" customWidth="1"/>
    <col min="1549" max="1792" width="7.75" style="439"/>
    <col min="1793" max="1793" width="3.375" style="439" customWidth="1"/>
    <col min="1794" max="1794" width="14.625" style="439" customWidth="1"/>
    <col min="1795" max="1804" width="10.75" style="439" customWidth="1"/>
    <col min="1805" max="2048" width="7.75" style="439"/>
    <col min="2049" max="2049" width="3.375" style="439" customWidth="1"/>
    <col min="2050" max="2050" width="14.625" style="439" customWidth="1"/>
    <col min="2051" max="2060" width="10.75" style="439" customWidth="1"/>
    <col min="2061" max="2304" width="7.75" style="439"/>
    <col min="2305" max="2305" width="3.375" style="439" customWidth="1"/>
    <col min="2306" max="2306" width="14.625" style="439" customWidth="1"/>
    <col min="2307" max="2316" width="10.75" style="439" customWidth="1"/>
    <col min="2317" max="2560" width="7.75" style="439"/>
    <col min="2561" max="2561" width="3.375" style="439" customWidth="1"/>
    <col min="2562" max="2562" width="14.625" style="439" customWidth="1"/>
    <col min="2563" max="2572" width="10.75" style="439" customWidth="1"/>
    <col min="2573" max="2816" width="7.75" style="439"/>
    <col min="2817" max="2817" width="3.375" style="439" customWidth="1"/>
    <col min="2818" max="2818" width="14.625" style="439" customWidth="1"/>
    <col min="2819" max="2828" width="10.75" style="439" customWidth="1"/>
    <col min="2829" max="3072" width="7.75" style="439"/>
    <col min="3073" max="3073" width="3.375" style="439" customWidth="1"/>
    <col min="3074" max="3074" width="14.625" style="439" customWidth="1"/>
    <col min="3075" max="3084" width="10.75" style="439" customWidth="1"/>
    <col min="3085" max="3328" width="7.75" style="439"/>
    <col min="3329" max="3329" width="3.375" style="439" customWidth="1"/>
    <col min="3330" max="3330" width="14.625" style="439" customWidth="1"/>
    <col min="3331" max="3340" width="10.75" style="439" customWidth="1"/>
    <col min="3341" max="3584" width="7.75" style="439"/>
    <col min="3585" max="3585" width="3.375" style="439" customWidth="1"/>
    <col min="3586" max="3586" width="14.625" style="439" customWidth="1"/>
    <col min="3587" max="3596" width="10.75" style="439" customWidth="1"/>
    <col min="3597" max="3840" width="7.75" style="439"/>
    <col min="3841" max="3841" width="3.375" style="439" customWidth="1"/>
    <col min="3842" max="3842" width="14.625" style="439" customWidth="1"/>
    <col min="3843" max="3852" width="10.75" style="439" customWidth="1"/>
    <col min="3853" max="4096" width="7.75" style="439"/>
    <col min="4097" max="4097" width="3.375" style="439" customWidth="1"/>
    <col min="4098" max="4098" width="14.625" style="439" customWidth="1"/>
    <col min="4099" max="4108" width="10.75" style="439" customWidth="1"/>
    <col min="4109" max="4352" width="7.75" style="439"/>
    <col min="4353" max="4353" width="3.375" style="439" customWidth="1"/>
    <col min="4354" max="4354" width="14.625" style="439" customWidth="1"/>
    <col min="4355" max="4364" width="10.75" style="439" customWidth="1"/>
    <col min="4365" max="4608" width="7.75" style="439"/>
    <col min="4609" max="4609" width="3.375" style="439" customWidth="1"/>
    <col min="4610" max="4610" width="14.625" style="439" customWidth="1"/>
    <col min="4611" max="4620" width="10.75" style="439" customWidth="1"/>
    <col min="4621" max="4864" width="7.75" style="439"/>
    <col min="4865" max="4865" width="3.375" style="439" customWidth="1"/>
    <col min="4866" max="4866" width="14.625" style="439" customWidth="1"/>
    <col min="4867" max="4876" width="10.75" style="439" customWidth="1"/>
    <col min="4877" max="5120" width="7.75" style="439"/>
    <col min="5121" max="5121" width="3.375" style="439" customWidth="1"/>
    <col min="5122" max="5122" width="14.625" style="439" customWidth="1"/>
    <col min="5123" max="5132" width="10.75" style="439" customWidth="1"/>
    <col min="5133" max="5376" width="7.75" style="439"/>
    <col min="5377" max="5377" width="3.375" style="439" customWidth="1"/>
    <col min="5378" max="5378" width="14.625" style="439" customWidth="1"/>
    <col min="5379" max="5388" width="10.75" style="439" customWidth="1"/>
    <col min="5389" max="5632" width="7.75" style="439"/>
    <col min="5633" max="5633" width="3.375" style="439" customWidth="1"/>
    <col min="5634" max="5634" width="14.625" style="439" customWidth="1"/>
    <col min="5635" max="5644" width="10.75" style="439" customWidth="1"/>
    <col min="5645" max="5888" width="7.75" style="439"/>
    <col min="5889" max="5889" width="3.375" style="439" customWidth="1"/>
    <col min="5890" max="5890" width="14.625" style="439" customWidth="1"/>
    <col min="5891" max="5900" width="10.75" style="439" customWidth="1"/>
    <col min="5901" max="6144" width="7.75" style="439"/>
    <col min="6145" max="6145" width="3.375" style="439" customWidth="1"/>
    <col min="6146" max="6146" width="14.625" style="439" customWidth="1"/>
    <col min="6147" max="6156" width="10.75" style="439" customWidth="1"/>
    <col min="6157" max="6400" width="7.75" style="439"/>
    <col min="6401" max="6401" width="3.375" style="439" customWidth="1"/>
    <col min="6402" max="6402" width="14.625" style="439" customWidth="1"/>
    <col min="6403" max="6412" width="10.75" style="439" customWidth="1"/>
    <col min="6413" max="6656" width="7.75" style="439"/>
    <col min="6657" max="6657" width="3.375" style="439" customWidth="1"/>
    <col min="6658" max="6658" width="14.625" style="439" customWidth="1"/>
    <col min="6659" max="6668" width="10.75" style="439" customWidth="1"/>
    <col min="6669" max="6912" width="7.75" style="439"/>
    <col min="6913" max="6913" width="3.375" style="439" customWidth="1"/>
    <col min="6914" max="6914" width="14.625" style="439" customWidth="1"/>
    <col min="6915" max="6924" width="10.75" style="439" customWidth="1"/>
    <col min="6925" max="7168" width="7.75" style="439"/>
    <col min="7169" max="7169" width="3.375" style="439" customWidth="1"/>
    <col min="7170" max="7170" width="14.625" style="439" customWidth="1"/>
    <col min="7171" max="7180" width="10.75" style="439" customWidth="1"/>
    <col min="7181" max="7424" width="7.75" style="439"/>
    <col min="7425" max="7425" width="3.375" style="439" customWidth="1"/>
    <col min="7426" max="7426" width="14.625" style="439" customWidth="1"/>
    <col min="7427" max="7436" width="10.75" style="439" customWidth="1"/>
    <col min="7437" max="7680" width="7.75" style="439"/>
    <col min="7681" max="7681" width="3.375" style="439" customWidth="1"/>
    <col min="7682" max="7682" width="14.625" style="439" customWidth="1"/>
    <col min="7683" max="7692" width="10.75" style="439" customWidth="1"/>
    <col min="7693" max="7936" width="7.75" style="439"/>
    <col min="7937" max="7937" width="3.375" style="439" customWidth="1"/>
    <col min="7938" max="7938" width="14.625" style="439" customWidth="1"/>
    <col min="7939" max="7948" width="10.75" style="439" customWidth="1"/>
    <col min="7949" max="8192" width="7.75" style="439"/>
    <col min="8193" max="8193" width="3.375" style="439" customWidth="1"/>
    <col min="8194" max="8194" width="14.625" style="439" customWidth="1"/>
    <col min="8195" max="8204" width="10.75" style="439" customWidth="1"/>
    <col min="8205" max="8448" width="7.75" style="439"/>
    <col min="8449" max="8449" width="3.375" style="439" customWidth="1"/>
    <col min="8450" max="8450" width="14.625" style="439" customWidth="1"/>
    <col min="8451" max="8460" width="10.75" style="439" customWidth="1"/>
    <col min="8461" max="8704" width="7.75" style="439"/>
    <col min="8705" max="8705" width="3.375" style="439" customWidth="1"/>
    <col min="8706" max="8706" width="14.625" style="439" customWidth="1"/>
    <col min="8707" max="8716" width="10.75" style="439" customWidth="1"/>
    <col min="8717" max="8960" width="7.75" style="439"/>
    <col min="8961" max="8961" width="3.375" style="439" customWidth="1"/>
    <col min="8962" max="8962" width="14.625" style="439" customWidth="1"/>
    <col min="8963" max="8972" width="10.75" style="439" customWidth="1"/>
    <col min="8973" max="9216" width="7.75" style="439"/>
    <col min="9217" max="9217" width="3.375" style="439" customWidth="1"/>
    <col min="9218" max="9218" width="14.625" style="439" customWidth="1"/>
    <col min="9219" max="9228" width="10.75" style="439" customWidth="1"/>
    <col min="9229" max="9472" width="7.75" style="439"/>
    <col min="9473" max="9473" width="3.375" style="439" customWidth="1"/>
    <col min="9474" max="9474" width="14.625" style="439" customWidth="1"/>
    <col min="9475" max="9484" width="10.75" style="439" customWidth="1"/>
    <col min="9485" max="9728" width="7.75" style="439"/>
    <col min="9729" max="9729" width="3.375" style="439" customWidth="1"/>
    <col min="9730" max="9730" width="14.625" style="439" customWidth="1"/>
    <col min="9731" max="9740" width="10.75" style="439" customWidth="1"/>
    <col min="9741" max="9984" width="7.75" style="439"/>
    <col min="9985" max="9985" width="3.375" style="439" customWidth="1"/>
    <col min="9986" max="9986" width="14.625" style="439" customWidth="1"/>
    <col min="9987" max="9996" width="10.75" style="439" customWidth="1"/>
    <col min="9997" max="10240" width="7.75" style="439"/>
    <col min="10241" max="10241" width="3.375" style="439" customWidth="1"/>
    <col min="10242" max="10242" width="14.625" style="439" customWidth="1"/>
    <col min="10243" max="10252" width="10.75" style="439" customWidth="1"/>
    <col min="10253" max="10496" width="7.75" style="439"/>
    <col min="10497" max="10497" width="3.375" style="439" customWidth="1"/>
    <col min="10498" max="10498" width="14.625" style="439" customWidth="1"/>
    <col min="10499" max="10508" width="10.75" style="439" customWidth="1"/>
    <col min="10509" max="10752" width="7.75" style="439"/>
    <col min="10753" max="10753" width="3.375" style="439" customWidth="1"/>
    <col min="10754" max="10754" width="14.625" style="439" customWidth="1"/>
    <col min="10755" max="10764" width="10.75" style="439" customWidth="1"/>
    <col min="10765" max="11008" width="7.75" style="439"/>
    <col min="11009" max="11009" width="3.375" style="439" customWidth="1"/>
    <col min="11010" max="11010" width="14.625" style="439" customWidth="1"/>
    <col min="11011" max="11020" width="10.75" style="439" customWidth="1"/>
    <col min="11021" max="11264" width="7.75" style="439"/>
    <col min="11265" max="11265" width="3.375" style="439" customWidth="1"/>
    <col min="11266" max="11266" width="14.625" style="439" customWidth="1"/>
    <col min="11267" max="11276" width="10.75" style="439" customWidth="1"/>
    <col min="11277" max="11520" width="7.75" style="439"/>
    <col min="11521" max="11521" width="3.375" style="439" customWidth="1"/>
    <col min="11522" max="11522" width="14.625" style="439" customWidth="1"/>
    <col min="11523" max="11532" width="10.75" style="439" customWidth="1"/>
    <col min="11533" max="11776" width="7.75" style="439"/>
    <col min="11777" max="11777" width="3.375" style="439" customWidth="1"/>
    <col min="11778" max="11778" width="14.625" style="439" customWidth="1"/>
    <col min="11779" max="11788" width="10.75" style="439" customWidth="1"/>
    <col min="11789" max="12032" width="7.75" style="439"/>
    <col min="12033" max="12033" width="3.375" style="439" customWidth="1"/>
    <col min="12034" max="12034" width="14.625" style="439" customWidth="1"/>
    <col min="12035" max="12044" width="10.75" style="439" customWidth="1"/>
    <col min="12045" max="12288" width="7.75" style="439"/>
    <col min="12289" max="12289" width="3.375" style="439" customWidth="1"/>
    <col min="12290" max="12290" width="14.625" style="439" customWidth="1"/>
    <col min="12291" max="12300" width="10.75" style="439" customWidth="1"/>
    <col min="12301" max="12544" width="7.75" style="439"/>
    <col min="12545" max="12545" width="3.375" style="439" customWidth="1"/>
    <col min="12546" max="12546" width="14.625" style="439" customWidth="1"/>
    <col min="12547" max="12556" width="10.75" style="439" customWidth="1"/>
    <col min="12557" max="12800" width="7.75" style="439"/>
    <col min="12801" max="12801" width="3.375" style="439" customWidth="1"/>
    <col min="12802" max="12802" width="14.625" style="439" customWidth="1"/>
    <col min="12803" max="12812" width="10.75" style="439" customWidth="1"/>
    <col min="12813" max="13056" width="7.75" style="439"/>
    <col min="13057" max="13057" width="3.375" style="439" customWidth="1"/>
    <col min="13058" max="13058" width="14.625" style="439" customWidth="1"/>
    <col min="13059" max="13068" width="10.75" style="439" customWidth="1"/>
    <col min="13069" max="13312" width="7.75" style="439"/>
    <col min="13313" max="13313" width="3.375" style="439" customWidth="1"/>
    <col min="13314" max="13314" width="14.625" style="439" customWidth="1"/>
    <col min="13315" max="13324" width="10.75" style="439" customWidth="1"/>
    <col min="13325" max="13568" width="7.75" style="439"/>
    <col min="13569" max="13569" width="3.375" style="439" customWidth="1"/>
    <col min="13570" max="13570" width="14.625" style="439" customWidth="1"/>
    <col min="13571" max="13580" width="10.75" style="439" customWidth="1"/>
    <col min="13581" max="13824" width="7.75" style="439"/>
    <col min="13825" max="13825" width="3.375" style="439" customWidth="1"/>
    <col min="13826" max="13826" width="14.625" style="439" customWidth="1"/>
    <col min="13827" max="13836" width="10.75" style="439" customWidth="1"/>
    <col min="13837" max="14080" width="7.75" style="439"/>
    <col min="14081" max="14081" width="3.375" style="439" customWidth="1"/>
    <col min="14082" max="14082" width="14.625" style="439" customWidth="1"/>
    <col min="14083" max="14092" width="10.75" style="439" customWidth="1"/>
    <col min="14093" max="14336" width="7.75" style="439"/>
    <col min="14337" max="14337" width="3.375" style="439" customWidth="1"/>
    <col min="14338" max="14338" width="14.625" style="439" customWidth="1"/>
    <col min="14339" max="14348" width="10.75" style="439" customWidth="1"/>
    <col min="14349" max="14592" width="7.75" style="439"/>
    <col min="14593" max="14593" width="3.375" style="439" customWidth="1"/>
    <col min="14594" max="14594" width="14.625" style="439" customWidth="1"/>
    <col min="14595" max="14604" width="10.75" style="439" customWidth="1"/>
    <col min="14605" max="14848" width="7.75" style="439"/>
    <col min="14849" max="14849" width="3.375" style="439" customWidth="1"/>
    <col min="14850" max="14850" width="14.625" style="439" customWidth="1"/>
    <col min="14851" max="14860" width="10.75" style="439" customWidth="1"/>
    <col min="14861" max="15104" width="7.75" style="439"/>
    <col min="15105" max="15105" width="3.375" style="439" customWidth="1"/>
    <col min="15106" max="15106" width="14.625" style="439" customWidth="1"/>
    <col min="15107" max="15116" width="10.75" style="439" customWidth="1"/>
    <col min="15117" max="15360" width="7.75" style="439"/>
    <col min="15361" max="15361" width="3.375" style="439" customWidth="1"/>
    <col min="15362" max="15362" width="14.625" style="439" customWidth="1"/>
    <col min="15363" max="15372" width="10.75" style="439" customWidth="1"/>
    <col min="15373" max="15616" width="7.75" style="439"/>
    <col min="15617" max="15617" width="3.375" style="439" customWidth="1"/>
    <col min="15618" max="15618" width="14.625" style="439" customWidth="1"/>
    <col min="15619" max="15628" width="10.75" style="439" customWidth="1"/>
    <col min="15629" max="15872" width="7.75" style="439"/>
    <col min="15873" max="15873" width="3.375" style="439" customWidth="1"/>
    <col min="15874" max="15874" width="14.625" style="439" customWidth="1"/>
    <col min="15875" max="15884" width="10.75" style="439" customWidth="1"/>
    <col min="15885" max="16128" width="7.75" style="439"/>
    <col min="16129" max="16129" width="3.375" style="439" customWidth="1"/>
    <col min="16130" max="16130" width="14.625" style="439" customWidth="1"/>
    <col min="16131" max="16140" width="10.75" style="439" customWidth="1"/>
    <col min="16141" max="16384" width="7.75" style="439"/>
  </cols>
  <sheetData>
    <row r="1" spans="1:19">
      <c r="K1" s="592" t="s">
        <v>729</v>
      </c>
      <c r="L1" s="592"/>
      <c r="M1" s="440"/>
    </row>
    <row r="2" spans="1:19" s="441" customFormat="1">
      <c r="A2" s="594" t="s">
        <v>730</v>
      </c>
      <c r="B2" s="594"/>
      <c r="C2" s="594"/>
      <c r="D2" s="594"/>
      <c r="E2" s="594"/>
      <c r="F2" s="594"/>
      <c r="G2" s="594"/>
      <c r="H2" s="594"/>
      <c r="I2" s="594"/>
      <c r="J2" s="594"/>
      <c r="K2" s="594"/>
      <c r="L2" s="594"/>
    </row>
    <row r="3" spans="1:19" s="441" customFormat="1">
      <c r="A3" s="594" t="s">
        <v>935</v>
      </c>
      <c r="B3" s="594"/>
      <c r="C3" s="594"/>
      <c r="D3" s="594"/>
      <c r="E3" s="594"/>
      <c r="F3" s="594"/>
      <c r="G3" s="594"/>
      <c r="H3" s="594"/>
      <c r="I3" s="594"/>
      <c r="J3" s="594"/>
      <c r="K3" s="594"/>
      <c r="L3" s="594"/>
    </row>
    <row r="4" spans="1:19" s="441" customFormat="1">
      <c r="A4" s="595" t="s">
        <v>871</v>
      </c>
      <c r="B4" s="595"/>
      <c r="C4" s="595"/>
      <c r="D4" s="595"/>
      <c r="E4" s="595"/>
      <c r="F4" s="595"/>
      <c r="G4" s="595"/>
      <c r="H4" s="595"/>
      <c r="I4" s="595"/>
      <c r="J4" s="595"/>
      <c r="K4" s="595"/>
      <c r="L4" s="595"/>
    </row>
    <row r="5" spans="1:19" s="441" customFormat="1">
      <c r="A5" s="596"/>
      <c r="B5" s="596"/>
      <c r="C5" s="596"/>
      <c r="D5" s="442"/>
      <c r="E5" s="442"/>
      <c r="F5" s="442"/>
      <c r="G5" s="442"/>
      <c r="H5" s="442"/>
    </row>
    <row r="6" spans="1:19">
      <c r="K6" s="593" t="s">
        <v>869</v>
      </c>
      <c r="L6" s="593"/>
      <c r="M6" s="215"/>
      <c r="N6" s="215"/>
      <c r="O6" s="215"/>
    </row>
    <row r="7" spans="1:19" s="443" customFormat="1">
      <c r="A7" s="591" t="s">
        <v>16</v>
      </c>
      <c r="B7" s="597" t="s">
        <v>731</v>
      </c>
      <c r="C7" s="591" t="s">
        <v>745</v>
      </c>
      <c r="D7" s="591" t="s">
        <v>746</v>
      </c>
      <c r="E7" s="591"/>
      <c r="F7" s="591"/>
      <c r="G7" s="591"/>
      <c r="H7" s="591" t="s">
        <v>747</v>
      </c>
      <c r="I7" s="591"/>
      <c r="J7" s="591"/>
      <c r="K7" s="591"/>
      <c r="L7" s="591" t="s">
        <v>748</v>
      </c>
      <c r="O7" s="441"/>
      <c r="P7" s="441"/>
      <c r="Q7" s="441"/>
      <c r="R7" s="441"/>
      <c r="S7" s="441"/>
    </row>
    <row r="8" spans="1:19" s="443" customFormat="1" ht="36.75" customHeight="1">
      <c r="A8" s="591"/>
      <c r="B8" s="597"/>
      <c r="C8" s="591"/>
      <c r="D8" s="591" t="s">
        <v>732</v>
      </c>
      <c r="E8" s="591"/>
      <c r="F8" s="591" t="s">
        <v>733</v>
      </c>
      <c r="G8" s="591" t="s">
        <v>734</v>
      </c>
      <c r="H8" s="591" t="s">
        <v>732</v>
      </c>
      <c r="I8" s="591"/>
      <c r="J8" s="591" t="s">
        <v>733</v>
      </c>
      <c r="K8" s="591" t="s">
        <v>734</v>
      </c>
      <c r="L8" s="591"/>
      <c r="O8" s="215"/>
      <c r="P8" s="439"/>
      <c r="Q8" s="439"/>
      <c r="R8" s="439"/>
      <c r="S8" s="439"/>
    </row>
    <row r="9" spans="1:19" s="443" customFormat="1">
      <c r="A9" s="591"/>
      <c r="B9" s="597"/>
      <c r="C9" s="591"/>
      <c r="D9" s="591" t="s">
        <v>158</v>
      </c>
      <c r="E9" s="591" t="s">
        <v>1071</v>
      </c>
      <c r="F9" s="591"/>
      <c r="G9" s="591"/>
      <c r="H9" s="591" t="s">
        <v>158</v>
      </c>
      <c r="I9" s="591" t="s">
        <v>1071</v>
      </c>
      <c r="J9" s="591"/>
      <c r="K9" s="591"/>
      <c r="L9" s="591"/>
      <c r="O9" s="441"/>
      <c r="P9" s="441"/>
      <c r="Q9" s="441"/>
      <c r="R9" s="441"/>
      <c r="S9" s="441"/>
    </row>
    <row r="10" spans="1:19" s="442" customFormat="1" ht="42.75" customHeight="1">
      <c r="A10" s="591"/>
      <c r="B10" s="597"/>
      <c r="C10" s="591"/>
      <c r="D10" s="591"/>
      <c r="E10" s="591"/>
      <c r="F10" s="591"/>
      <c r="G10" s="591"/>
      <c r="H10" s="591"/>
      <c r="I10" s="591"/>
      <c r="J10" s="591"/>
      <c r="K10" s="591"/>
      <c r="L10" s="591"/>
    </row>
    <row r="11" spans="1:19" s="444" customFormat="1" ht="12.75">
      <c r="A11" s="435" t="s">
        <v>23</v>
      </c>
      <c r="B11" s="435" t="s">
        <v>24</v>
      </c>
      <c r="C11" s="435">
        <v>1</v>
      </c>
      <c r="D11" s="435">
        <f>C11+1</f>
        <v>2</v>
      </c>
      <c r="E11" s="435">
        <f>D11+1</f>
        <v>3</v>
      </c>
      <c r="F11" s="435">
        <f>E11+1</f>
        <v>4</v>
      </c>
      <c r="G11" s="435" t="s">
        <v>735</v>
      </c>
      <c r="H11" s="435">
        <v>6</v>
      </c>
      <c r="I11" s="435">
        <f>H11+1</f>
        <v>7</v>
      </c>
      <c r="J11" s="435">
        <f>I11+1</f>
        <v>8</v>
      </c>
      <c r="K11" s="435" t="s">
        <v>736</v>
      </c>
      <c r="L11" s="435" t="s">
        <v>737</v>
      </c>
    </row>
    <row r="12" spans="1:19" s="444" customFormat="1" ht="12.75">
      <c r="A12" s="445"/>
      <c r="B12" s="446" t="s">
        <v>963</v>
      </c>
      <c r="C12" s="447">
        <f>SUM(C13:C29)</f>
        <v>552876</v>
      </c>
      <c r="D12" s="447">
        <f t="shared" ref="D12:L12" si="0">SUM(D13:D29)</f>
        <v>316896</v>
      </c>
      <c r="E12" s="447">
        <f t="shared" si="0"/>
        <v>37635</v>
      </c>
      <c r="F12" s="447">
        <f t="shared" si="0"/>
        <v>365176</v>
      </c>
      <c r="G12" s="447">
        <f t="shared" si="0"/>
        <v>-48280</v>
      </c>
      <c r="H12" s="447">
        <f t="shared" si="0"/>
        <v>323514</v>
      </c>
      <c r="I12" s="447">
        <f t="shared" si="0"/>
        <v>22892</v>
      </c>
      <c r="J12" s="447">
        <f t="shared" si="0"/>
        <v>341869</v>
      </c>
      <c r="K12" s="447">
        <f t="shared" si="0"/>
        <v>-18355</v>
      </c>
      <c r="L12" s="447">
        <f t="shared" si="0"/>
        <v>534521</v>
      </c>
      <c r="N12" s="448"/>
    </row>
    <row r="13" spans="1:19" s="440" customFormat="1" ht="15.75">
      <c r="A13" s="449">
        <v>1</v>
      </c>
      <c r="B13" s="387" t="s">
        <v>920</v>
      </c>
      <c r="C13" s="450">
        <v>144496</v>
      </c>
      <c r="D13" s="450">
        <v>10861</v>
      </c>
      <c r="E13" s="450">
        <v>0</v>
      </c>
      <c r="F13" s="450">
        <v>13037</v>
      </c>
      <c r="G13" s="450">
        <f>D13-F13</f>
        <v>-2176</v>
      </c>
      <c r="H13" s="450">
        <v>24516</v>
      </c>
      <c r="I13" s="450"/>
      <c r="J13" s="450">
        <v>3043</v>
      </c>
      <c r="K13" s="450">
        <f>H13-J13</f>
        <v>21473</v>
      </c>
      <c r="L13" s="450">
        <f>C13+H13-J13</f>
        <v>165969</v>
      </c>
      <c r="N13" s="451"/>
      <c r="O13" s="451"/>
    </row>
    <row r="14" spans="1:19" s="440" customFormat="1" ht="15.75">
      <c r="A14" s="449">
        <v>2</v>
      </c>
      <c r="B14" s="387" t="s">
        <v>845</v>
      </c>
      <c r="C14" s="450">
        <v>160165</v>
      </c>
      <c r="D14" s="450">
        <v>25100</v>
      </c>
      <c r="E14" s="450">
        <v>3700</v>
      </c>
      <c r="F14" s="450">
        <v>75600</v>
      </c>
      <c r="G14" s="450">
        <f t="shared" ref="G14:G29" si="1">D14-F14</f>
        <v>-50500</v>
      </c>
      <c r="H14" s="450">
        <v>48195</v>
      </c>
      <c r="I14" s="450">
        <v>7820</v>
      </c>
      <c r="J14" s="450">
        <v>37825</v>
      </c>
      <c r="K14" s="450">
        <f t="shared" ref="K14:K29" si="2">H14-J14</f>
        <v>10370</v>
      </c>
      <c r="L14" s="450">
        <f t="shared" ref="L14:L29" si="3">C14+H14-J14</f>
        <v>170535</v>
      </c>
      <c r="N14" s="451"/>
      <c r="O14" s="451"/>
    </row>
    <row r="15" spans="1:19" s="440" customFormat="1" ht="15.75">
      <c r="A15" s="449">
        <v>3</v>
      </c>
      <c r="B15" s="388" t="s">
        <v>921</v>
      </c>
      <c r="C15" s="450">
        <v>220675</v>
      </c>
      <c r="D15" s="450">
        <v>230000</v>
      </c>
      <c r="E15" s="450">
        <v>0</v>
      </c>
      <c r="F15" s="450">
        <v>238424</v>
      </c>
      <c r="G15" s="450">
        <f t="shared" si="1"/>
        <v>-8424</v>
      </c>
      <c r="H15" s="450">
        <v>223674</v>
      </c>
      <c r="I15" s="450"/>
      <c r="J15" s="450">
        <v>275175</v>
      </c>
      <c r="K15" s="450">
        <f t="shared" si="2"/>
        <v>-51501</v>
      </c>
      <c r="L15" s="450">
        <f t="shared" si="3"/>
        <v>169174</v>
      </c>
      <c r="N15" s="451"/>
      <c r="O15" s="451"/>
    </row>
    <row r="16" spans="1:19" s="452" customFormat="1">
      <c r="A16" s="449">
        <v>4</v>
      </c>
      <c r="B16" s="387" t="s">
        <v>922</v>
      </c>
      <c r="C16" s="450">
        <v>767</v>
      </c>
      <c r="D16" s="450">
        <v>10863</v>
      </c>
      <c r="E16" s="450">
        <v>8863</v>
      </c>
      <c r="F16" s="450">
        <v>10863</v>
      </c>
      <c r="G16" s="450">
        <f t="shared" si="1"/>
        <v>0</v>
      </c>
      <c r="H16" s="450">
        <v>700</v>
      </c>
      <c r="I16" s="450"/>
      <c r="J16" s="450">
        <v>1467</v>
      </c>
      <c r="K16" s="450">
        <f t="shared" si="2"/>
        <v>-767</v>
      </c>
      <c r="L16" s="450">
        <f t="shared" si="3"/>
        <v>0</v>
      </c>
      <c r="N16" s="451"/>
      <c r="O16" s="451"/>
    </row>
    <row r="17" spans="1:15" s="452" customFormat="1">
      <c r="A17" s="449">
        <v>5</v>
      </c>
      <c r="B17" s="387" t="s">
        <v>923</v>
      </c>
      <c r="C17" s="450">
        <v>278</v>
      </c>
      <c r="D17" s="450">
        <v>200</v>
      </c>
      <c r="E17" s="450">
        <v>0</v>
      </c>
      <c r="F17" s="450">
        <v>200</v>
      </c>
      <c r="G17" s="450">
        <f t="shared" si="1"/>
        <v>0</v>
      </c>
      <c r="H17" s="450">
        <v>2714</v>
      </c>
      <c r="I17" s="450"/>
      <c r="J17" s="450">
        <v>2992</v>
      </c>
      <c r="K17" s="450">
        <f t="shared" si="2"/>
        <v>-278</v>
      </c>
      <c r="L17" s="450">
        <f t="shared" si="3"/>
        <v>0</v>
      </c>
      <c r="N17" s="451"/>
      <c r="O17" s="451"/>
    </row>
    <row r="18" spans="1:15" s="452" customFormat="1">
      <c r="A18" s="449">
        <v>6</v>
      </c>
      <c r="B18" s="388" t="s">
        <v>924</v>
      </c>
      <c r="C18" s="450">
        <v>596</v>
      </c>
      <c r="D18" s="450">
        <v>355</v>
      </c>
      <c r="E18" s="450">
        <v>0</v>
      </c>
      <c r="F18" s="450">
        <v>665</v>
      </c>
      <c r="G18" s="450">
        <f t="shared" si="1"/>
        <v>-310</v>
      </c>
      <c r="H18" s="450">
        <v>268</v>
      </c>
      <c r="I18" s="450"/>
      <c r="J18" s="450">
        <v>610</v>
      </c>
      <c r="K18" s="450">
        <f t="shared" si="2"/>
        <v>-342</v>
      </c>
      <c r="L18" s="450">
        <f t="shared" si="3"/>
        <v>254</v>
      </c>
      <c r="N18" s="451"/>
      <c r="O18" s="451"/>
    </row>
    <row r="19" spans="1:15" s="452" customFormat="1">
      <c r="A19" s="449">
        <v>7</v>
      </c>
      <c r="B19" s="388" t="s">
        <v>925</v>
      </c>
      <c r="C19" s="450">
        <v>237</v>
      </c>
      <c r="D19" s="450">
        <v>600</v>
      </c>
      <c r="E19" s="450">
        <v>0</v>
      </c>
      <c r="F19" s="450">
        <v>600</v>
      </c>
      <c r="G19" s="450">
        <f t="shared" si="1"/>
        <v>0</v>
      </c>
      <c r="H19" s="450">
        <v>538</v>
      </c>
      <c r="I19" s="450"/>
      <c r="J19" s="450">
        <v>459</v>
      </c>
      <c r="K19" s="450">
        <f t="shared" si="2"/>
        <v>79</v>
      </c>
      <c r="L19" s="450">
        <f t="shared" si="3"/>
        <v>316</v>
      </c>
      <c r="N19" s="451"/>
      <c r="O19" s="451"/>
    </row>
    <row r="20" spans="1:15" s="452" customFormat="1">
      <c r="A20" s="449">
        <v>8</v>
      </c>
      <c r="B20" s="388" t="s">
        <v>916</v>
      </c>
      <c r="C20" s="450">
        <v>1383</v>
      </c>
      <c r="D20" s="450">
        <v>14072</v>
      </c>
      <c r="E20" s="450">
        <v>14072</v>
      </c>
      <c r="F20" s="450">
        <v>11237</v>
      </c>
      <c r="G20" s="450">
        <f t="shared" si="1"/>
        <v>2835</v>
      </c>
      <c r="H20" s="450">
        <v>14072</v>
      </c>
      <c r="I20" s="450">
        <v>14072</v>
      </c>
      <c r="J20" s="450">
        <v>11237</v>
      </c>
      <c r="K20" s="450">
        <f t="shared" si="2"/>
        <v>2835</v>
      </c>
      <c r="L20" s="450">
        <f t="shared" si="3"/>
        <v>4218</v>
      </c>
      <c r="M20" s="453"/>
      <c r="N20" s="454"/>
      <c r="O20" s="454"/>
    </row>
    <row r="21" spans="1:15" s="452" customFormat="1">
      <c r="A21" s="449">
        <v>9</v>
      </c>
      <c r="B21" s="387" t="s">
        <v>926</v>
      </c>
      <c r="C21" s="450">
        <v>397</v>
      </c>
      <c r="D21" s="450">
        <v>700</v>
      </c>
      <c r="E21" s="450">
        <v>0</v>
      </c>
      <c r="F21" s="450">
        <v>700</v>
      </c>
      <c r="G21" s="450">
        <f t="shared" si="1"/>
        <v>0</v>
      </c>
      <c r="H21" s="450">
        <v>330</v>
      </c>
      <c r="I21" s="450"/>
      <c r="J21" s="450">
        <v>169</v>
      </c>
      <c r="K21" s="450">
        <f t="shared" si="2"/>
        <v>161</v>
      </c>
      <c r="L21" s="450">
        <f t="shared" si="3"/>
        <v>558</v>
      </c>
      <c r="N21" s="451"/>
      <c r="O21" s="451"/>
    </row>
    <row r="22" spans="1:15" s="452" customFormat="1">
      <c r="A22" s="449">
        <v>10</v>
      </c>
      <c r="B22" s="388" t="s">
        <v>927</v>
      </c>
      <c r="C22" s="450">
        <v>14606</v>
      </c>
      <c r="D22" s="450">
        <v>6395</v>
      </c>
      <c r="E22" s="450">
        <v>0</v>
      </c>
      <c r="F22" s="450">
        <v>0</v>
      </c>
      <c r="G22" s="450">
        <f t="shared" si="1"/>
        <v>6395</v>
      </c>
      <c r="H22" s="450">
        <v>5459</v>
      </c>
      <c r="I22" s="450"/>
      <c r="J22" s="450">
        <v>5110</v>
      </c>
      <c r="K22" s="450">
        <f t="shared" si="2"/>
        <v>349</v>
      </c>
      <c r="L22" s="450">
        <f t="shared" si="3"/>
        <v>14955</v>
      </c>
      <c r="N22" s="451"/>
      <c r="O22" s="451"/>
    </row>
    <row r="23" spans="1:15" s="452" customFormat="1">
      <c r="A23" s="449">
        <v>11</v>
      </c>
      <c r="B23" s="387" t="s">
        <v>928</v>
      </c>
      <c r="C23" s="450">
        <v>4952</v>
      </c>
      <c r="D23" s="450">
        <v>200</v>
      </c>
      <c r="E23" s="450">
        <v>0</v>
      </c>
      <c r="F23" s="450">
        <v>200</v>
      </c>
      <c r="G23" s="450">
        <f t="shared" si="1"/>
        <v>0</v>
      </c>
      <c r="H23" s="450">
        <v>1206</v>
      </c>
      <c r="I23" s="450"/>
      <c r="J23" s="450">
        <v>2000</v>
      </c>
      <c r="K23" s="450">
        <f t="shared" si="2"/>
        <v>-794</v>
      </c>
      <c r="L23" s="450">
        <f t="shared" si="3"/>
        <v>4158</v>
      </c>
      <c r="N23" s="451"/>
      <c r="O23" s="451"/>
    </row>
    <row r="24" spans="1:15" s="452" customFormat="1">
      <c r="A24" s="449">
        <v>12</v>
      </c>
      <c r="B24" s="388" t="s">
        <v>929</v>
      </c>
      <c r="C24" s="450">
        <v>503</v>
      </c>
      <c r="D24" s="450">
        <v>180</v>
      </c>
      <c r="E24" s="450">
        <v>0</v>
      </c>
      <c r="F24" s="450">
        <v>180</v>
      </c>
      <c r="G24" s="450">
        <f t="shared" si="1"/>
        <v>0</v>
      </c>
      <c r="H24" s="450">
        <v>66</v>
      </c>
      <c r="I24" s="450"/>
      <c r="J24" s="450">
        <v>561</v>
      </c>
      <c r="K24" s="450">
        <f t="shared" si="2"/>
        <v>-495</v>
      </c>
      <c r="L24" s="450">
        <f t="shared" si="3"/>
        <v>8</v>
      </c>
      <c r="N24" s="451"/>
      <c r="O24" s="451"/>
    </row>
    <row r="25" spans="1:15">
      <c r="A25" s="449">
        <v>13</v>
      </c>
      <c r="B25" s="388" t="s">
        <v>930</v>
      </c>
      <c r="C25" s="455">
        <v>246</v>
      </c>
      <c r="D25" s="455">
        <v>0</v>
      </c>
      <c r="E25" s="450">
        <v>0</v>
      </c>
      <c r="F25" s="455">
        <v>0</v>
      </c>
      <c r="G25" s="450">
        <f t="shared" si="1"/>
        <v>0</v>
      </c>
      <c r="H25" s="455">
        <v>0</v>
      </c>
      <c r="I25" s="455"/>
      <c r="J25" s="455">
        <v>0</v>
      </c>
      <c r="K25" s="450">
        <f t="shared" si="2"/>
        <v>0</v>
      </c>
      <c r="L25" s="450">
        <f t="shared" si="3"/>
        <v>246</v>
      </c>
      <c r="N25" s="451"/>
      <c r="O25" s="451"/>
    </row>
    <row r="26" spans="1:15">
      <c r="A26" s="449">
        <v>14</v>
      </c>
      <c r="B26" s="387" t="s">
        <v>931</v>
      </c>
      <c r="C26" s="455">
        <v>1090</v>
      </c>
      <c r="D26" s="455">
        <v>360</v>
      </c>
      <c r="E26" s="450">
        <v>0</v>
      </c>
      <c r="F26" s="455">
        <v>220</v>
      </c>
      <c r="G26" s="450">
        <f t="shared" si="1"/>
        <v>140</v>
      </c>
      <c r="H26" s="455">
        <v>61</v>
      </c>
      <c r="I26" s="455"/>
      <c r="J26" s="455">
        <v>1</v>
      </c>
      <c r="K26" s="450">
        <f t="shared" si="2"/>
        <v>60</v>
      </c>
      <c r="L26" s="450">
        <f t="shared" si="3"/>
        <v>1150</v>
      </c>
      <c r="N26" s="451"/>
      <c r="O26" s="451"/>
    </row>
    <row r="27" spans="1:15">
      <c r="A27" s="449">
        <v>15</v>
      </c>
      <c r="B27" s="387" t="s">
        <v>932</v>
      </c>
      <c r="C27" s="455">
        <v>0</v>
      </c>
      <c r="D27" s="455">
        <v>13940</v>
      </c>
      <c r="E27" s="455">
        <v>8000</v>
      </c>
      <c r="F27" s="455">
        <v>9940</v>
      </c>
      <c r="G27" s="450">
        <f t="shared" si="1"/>
        <v>4000</v>
      </c>
      <c r="H27" s="455">
        <v>1000</v>
      </c>
      <c r="I27" s="455">
        <v>1000</v>
      </c>
      <c r="J27" s="455">
        <v>1000</v>
      </c>
      <c r="K27" s="450">
        <f t="shared" si="2"/>
        <v>0</v>
      </c>
      <c r="L27" s="450">
        <f t="shared" si="3"/>
        <v>0</v>
      </c>
      <c r="N27" s="451"/>
      <c r="O27" s="451"/>
    </row>
    <row r="28" spans="1:15">
      <c r="A28" s="449">
        <v>16</v>
      </c>
      <c r="B28" s="388" t="s">
        <v>933</v>
      </c>
      <c r="C28" s="455">
        <v>375</v>
      </c>
      <c r="D28" s="455">
        <v>2000</v>
      </c>
      <c r="E28" s="455">
        <v>2000</v>
      </c>
      <c r="F28" s="455">
        <v>2500</v>
      </c>
      <c r="G28" s="450">
        <f t="shared" si="1"/>
        <v>-500</v>
      </c>
      <c r="H28" s="455">
        <v>275</v>
      </c>
      <c r="I28" s="455"/>
      <c r="J28" s="455">
        <v>220</v>
      </c>
      <c r="K28" s="450">
        <f t="shared" si="2"/>
        <v>55</v>
      </c>
      <c r="L28" s="450">
        <f t="shared" si="3"/>
        <v>430</v>
      </c>
      <c r="N28" s="451"/>
      <c r="O28" s="451"/>
    </row>
    <row r="29" spans="1:15">
      <c r="A29" s="456">
        <v>17</v>
      </c>
      <c r="B29" s="389" t="s">
        <v>934</v>
      </c>
      <c r="C29" s="457">
        <v>2110</v>
      </c>
      <c r="D29" s="457">
        <v>1070</v>
      </c>
      <c r="E29" s="457">
        <v>1000</v>
      </c>
      <c r="F29" s="457">
        <v>810</v>
      </c>
      <c r="G29" s="458">
        <f t="shared" si="1"/>
        <v>260</v>
      </c>
      <c r="H29" s="457">
        <v>440</v>
      </c>
      <c r="I29" s="457"/>
      <c r="J29" s="457">
        <v>0</v>
      </c>
      <c r="K29" s="458">
        <f t="shared" si="2"/>
        <v>440</v>
      </c>
      <c r="L29" s="458">
        <f t="shared" si="3"/>
        <v>2550</v>
      </c>
      <c r="N29" s="451"/>
      <c r="O29" s="451"/>
    </row>
  </sheetData>
  <mergeCells count="22">
    <mergeCell ref="K8:K10"/>
    <mergeCell ref="D9:D10"/>
    <mergeCell ref="E9:E10"/>
    <mergeCell ref="H9:H10"/>
    <mergeCell ref="I9:I10"/>
    <mergeCell ref="D8:E8"/>
    <mergeCell ref="F8:F10"/>
    <mergeCell ref="G8:G10"/>
    <mergeCell ref="H8:I8"/>
    <mergeCell ref="J8:J10"/>
    <mergeCell ref="K1:L1"/>
    <mergeCell ref="K6:L6"/>
    <mergeCell ref="A2:L2"/>
    <mergeCell ref="A3:L3"/>
    <mergeCell ref="A4:L4"/>
    <mergeCell ref="A5:C5"/>
    <mergeCell ref="A7:A10"/>
    <mergeCell ref="B7:B10"/>
    <mergeCell ref="C7:C10"/>
    <mergeCell ref="D7:G7"/>
    <mergeCell ref="H7:K7"/>
    <mergeCell ref="L7:L10"/>
  </mergeCell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G90"/>
  <sheetViews>
    <sheetView workbookViewId="0">
      <selection activeCell="L21" sqref="L21"/>
    </sheetView>
  </sheetViews>
  <sheetFormatPr defaultColWidth="9.25" defaultRowHeight="15.75" outlineLevelRow="1"/>
  <cols>
    <col min="1" max="1" width="5.25" style="5" customWidth="1"/>
    <col min="2" max="2" width="36.625" style="5" customWidth="1"/>
    <col min="3" max="3" width="15.625" style="5" customWidth="1"/>
    <col min="4" max="4" width="14.25" style="5" customWidth="1"/>
    <col min="5" max="5" width="13.625" style="5" customWidth="1"/>
    <col min="6" max="16384" width="9.25" style="5"/>
  </cols>
  <sheetData>
    <row r="1" spans="1:5">
      <c r="A1" s="599" t="s">
        <v>721</v>
      </c>
      <c r="B1" s="599"/>
      <c r="C1" s="599"/>
      <c r="D1" s="599"/>
      <c r="E1" s="599"/>
    </row>
    <row r="2" spans="1:5">
      <c r="A2" s="600" t="s">
        <v>1038</v>
      </c>
      <c r="B2" s="600"/>
      <c r="C2" s="600"/>
      <c r="D2" s="600"/>
      <c r="E2" s="600"/>
    </row>
    <row r="3" spans="1:5">
      <c r="A3" s="600" t="s">
        <v>722</v>
      </c>
      <c r="B3" s="600"/>
      <c r="C3" s="600"/>
      <c r="D3" s="600"/>
      <c r="E3" s="600"/>
    </row>
    <row r="4" spans="1:5" ht="33.75" customHeight="1">
      <c r="A4" s="601" t="s">
        <v>871</v>
      </c>
      <c r="B4" s="601"/>
      <c r="C4" s="601"/>
      <c r="D4" s="601"/>
      <c r="E4" s="601"/>
    </row>
    <row r="5" spans="1:5">
      <c r="A5" s="602"/>
      <c r="B5" s="602"/>
      <c r="C5" s="602"/>
      <c r="D5" s="602"/>
      <c r="E5" s="383"/>
    </row>
    <row r="6" spans="1:5" ht="18.75">
      <c r="B6" s="384"/>
      <c r="D6" s="598" t="s">
        <v>869</v>
      </c>
      <c r="E6" s="598"/>
    </row>
    <row r="7" spans="1:5" ht="25.5">
      <c r="A7" s="382" t="s">
        <v>16</v>
      </c>
      <c r="B7" s="382" t="s">
        <v>64</v>
      </c>
      <c r="C7" s="382" t="s">
        <v>746</v>
      </c>
      <c r="D7" s="382" t="s">
        <v>747</v>
      </c>
      <c r="E7" s="382" t="s">
        <v>65</v>
      </c>
    </row>
    <row r="8" spans="1:5">
      <c r="A8" s="330" t="s">
        <v>23</v>
      </c>
      <c r="B8" s="330" t="s">
        <v>24</v>
      </c>
      <c r="C8" s="330">
        <v>1</v>
      </c>
      <c r="D8" s="330">
        <v>2</v>
      </c>
      <c r="E8" s="330" t="s">
        <v>113</v>
      </c>
    </row>
    <row r="9" spans="1:5">
      <c r="A9" s="335"/>
      <c r="B9" s="332" t="s">
        <v>160</v>
      </c>
      <c r="C9" s="390">
        <f>C10+C43</f>
        <v>531308.74225899996</v>
      </c>
      <c r="D9" s="390">
        <f>D10+D43</f>
        <v>535532.47289899993</v>
      </c>
      <c r="E9" s="412">
        <f>D9/C9*100</f>
        <v>100.79496727684956</v>
      </c>
    </row>
    <row r="10" spans="1:5">
      <c r="A10" s="331" t="s">
        <v>28</v>
      </c>
      <c r="B10" s="332" t="s">
        <v>1070</v>
      </c>
      <c r="C10" s="390">
        <f>C11+C15+C16+C17+C20+C21+C22+C36+C41</f>
        <v>503189.24225899996</v>
      </c>
      <c r="D10" s="390">
        <f>D11+D15+D16+D17+D20+D21+D22+D36+D41</f>
        <v>511519.51289899991</v>
      </c>
      <c r="E10" s="412">
        <f>D10/C10*100</f>
        <v>101.65549458144262</v>
      </c>
    </row>
    <row r="11" spans="1:5">
      <c r="A11" s="335">
        <v>1</v>
      </c>
      <c r="B11" s="336" t="s">
        <v>723</v>
      </c>
      <c r="C11" s="391">
        <f>C12+C13+C14</f>
        <v>46052</v>
      </c>
      <c r="D11" s="391">
        <f>D12+D13+D14</f>
        <v>37594</v>
      </c>
      <c r="E11" s="413">
        <f>D11/C11*100</f>
        <v>81.633805263615045</v>
      </c>
    </row>
    <row r="12" spans="1:5" hidden="1" outlineLevel="1">
      <c r="A12" s="335" t="s">
        <v>30</v>
      </c>
      <c r="B12" s="341" t="s">
        <v>333</v>
      </c>
      <c r="C12" s="391">
        <v>30000</v>
      </c>
      <c r="D12" s="392">
        <v>23578</v>
      </c>
      <c r="E12" s="413">
        <f>D12/C12*100</f>
        <v>78.593333333333334</v>
      </c>
    </row>
    <row r="13" spans="1:5" hidden="1" outlineLevel="1">
      <c r="A13" s="335" t="s">
        <v>30</v>
      </c>
      <c r="B13" s="341" t="s">
        <v>724</v>
      </c>
      <c r="C13" s="391">
        <v>12000</v>
      </c>
      <c r="D13" s="393">
        <v>9964</v>
      </c>
      <c r="E13" s="413">
        <f t="shared" ref="E13:E14" si="0">D13/C13*100</f>
        <v>83.033333333333331</v>
      </c>
    </row>
    <row r="14" spans="1:5" hidden="1" outlineLevel="1">
      <c r="A14" s="335" t="s">
        <v>30</v>
      </c>
      <c r="B14" s="341" t="s">
        <v>1016</v>
      </c>
      <c r="C14" s="391">
        <v>4052</v>
      </c>
      <c r="D14" s="393">
        <v>4052</v>
      </c>
      <c r="E14" s="413">
        <f t="shared" si="0"/>
        <v>100</v>
      </c>
    </row>
    <row r="15" spans="1:5" collapsed="1">
      <c r="A15" s="335">
        <v>2</v>
      </c>
      <c r="B15" s="336" t="s">
        <v>725</v>
      </c>
      <c r="C15" s="391">
        <v>1500</v>
      </c>
      <c r="D15" s="391">
        <v>2051.8739999999998</v>
      </c>
      <c r="E15" s="413">
        <f>D15/C15*100</f>
        <v>136.79159999999999</v>
      </c>
    </row>
    <row r="16" spans="1:5">
      <c r="A16" s="335">
        <v>3</v>
      </c>
      <c r="B16" s="336" t="s">
        <v>331</v>
      </c>
      <c r="C16" s="391">
        <v>388759</v>
      </c>
      <c r="D16" s="391">
        <v>404944.79663999996</v>
      </c>
      <c r="E16" s="413">
        <f>D16/C16*100</f>
        <v>104.16345258630668</v>
      </c>
    </row>
    <row r="17" spans="1:5">
      <c r="A17" s="335">
        <v>4</v>
      </c>
      <c r="B17" s="336" t="s">
        <v>726</v>
      </c>
      <c r="C17" s="391">
        <f>C18+C19</f>
        <v>218.642259</v>
      </c>
      <c r="D17" s="391">
        <f>D18+D19</f>
        <v>90.442259000000007</v>
      </c>
      <c r="E17" s="413">
        <f t="shared" ref="E17:E24" si="1">D17/C17*100</f>
        <v>41.365406401147737</v>
      </c>
    </row>
    <row r="18" spans="1:5" hidden="1" outlineLevel="1">
      <c r="A18" s="335" t="s">
        <v>30</v>
      </c>
      <c r="B18" s="336" t="s">
        <v>1072</v>
      </c>
      <c r="C18" s="391">
        <f>D18</f>
        <v>58.642259000000003</v>
      </c>
      <c r="D18" s="391">
        <v>58.642259000000003</v>
      </c>
      <c r="E18" s="413">
        <f t="shared" si="1"/>
        <v>100</v>
      </c>
    </row>
    <row r="19" spans="1:5" hidden="1" outlineLevel="1">
      <c r="A19" s="335" t="s">
        <v>30</v>
      </c>
      <c r="B19" s="336" t="s">
        <v>1073</v>
      </c>
      <c r="C19" s="391">
        <v>160</v>
      </c>
      <c r="D19" s="391">
        <v>31.8</v>
      </c>
      <c r="E19" s="413">
        <f t="shared" si="1"/>
        <v>19.875</v>
      </c>
    </row>
    <row r="20" spans="1:5" collapsed="1">
      <c r="A20" s="335">
        <v>5</v>
      </c>
      <c r="B20" s="336" t="s">
        <v>727</v>
      </c>
      <c r="C20" s="391">
        <v>6200</v>
      </c>
      <c r="D20" s="391">
        <v>6648</v>
      </c>
      <c r="E20" s="413">
        <f t="shared" si="1"/>
        <v>107.2258064516129</v>
      </c>
    </row>
    <row r="21" spans="1:5">
      <c r="A21" s="335">
        <v>6</v>
      </c>
      <c r="B21" s="336" t="s">
        <v>728</v>
      </c>
      <c r="C21" s="391">
        <f>D21</f>
        <v>100.6</v>
      </c>
      <c r="D21" s="391">
        <v>100.6</v>
      </c>
      <c r="E21" s="413">
        <f t="shared" si="1"/>
        <v>100</v>
      </c>
    </row>
    <row r="22" spans="1:5">
      <c r="A22" s="335">
        <v>7</v>
      </c>
      <c r="B22" s="336" t="s">
        <v>324</v>
      </c>
      <c r="C22" s="391">
        <f>C23+ C30+C31+C32+C33</f>
        <v>59943</v>
      </c>
      <c r="D22" s="391">
        <f>D23+ D30+D31+D32+D33</f>
        <v>55586</v>
      </c>
      <c r="E22" s="413">
        <f t="shared" si="1"/>
        <v>92.731428190113945</v>
      </c>
    </row>
    <row r="23" spans="1:5" hidden="1" outlineLevel="1">
      <c r="A23" s="335" t="s">
        <v>30</v>
      </c>
      <c r="B23" s="336" t="s">
        <v>301</v>
      </c>
      <c r="C23" s="391">
        <f>C24+C25+C26+C27+C28+C29</f>
        <v>57721</v>
      </c>
      <c r="D23" s="391">
        <f>D24+D25+D26+D27+D28+D29</f>
        <v>48092</v>
      </c>
      <c r="E23" s="413">
        <f t="shared" si="1"/>
        <v>83.318029833162981</v>
      </c>
    </row>
    <row r="24" spans="1:5" hidden="1" outlineLevel="1">
      <c r="A24" s="339" t="s">
        <v>194</v>
      </c>
      <c r="B24" s="336" t="s">
        <v>1074</v>
      </c>
      <c r="C24" s="391">
        <v>15570</v>
      </c>
      <c r="D24" s="391">
        <v>13787</v>
      </c>
      <c r="E24" s="413">
        <f t="shared" si="1"/>
        <v>88.548490687219001</v>
      </c>
    </row>
    <row r="25" spans="1:5" hidden="1" outlineLevel="1">
      <c r="A25" s="339" t="s">
        <v>194</v>
      </c>
      <c r="B25" s="336" t="s">
        <v>650</v>
      </c>
      <c r="C25" s="393">
        <v>395</v>
      </c>
      <c r="D25" s="393">
        <v>419</v>
      </c>
      <c r="E25" s="413">
        <f>D25/C25*100</f>
        <v>106.07594936708861</v>
      </c>
    </row>
    <row r="26" spans="1:5" hidden="1" outlineLevel="1">
      <c r="A26" s="339" t="s">
        <v>194</v>
      </c>
      <c r="B26" s="336" t="s">
        <v>1075</v>
      </c>
      <c r="C26" s="393">
        <v>4152</v>
      </c>
      <c r="D26" s="393">
        <v>3161</v>
      </c>
      <c r="E26" s="413">
        <f>D26/C26*100</f>
        <v>76.131984585741804</v>
      </c>
    </row>
    <row r="27" spans="1:5" hidden="1" outlineLevel="1">
      <c r="A27" s="339" t="s">
        <v>194</v>
      </c>
      <c r="B27" s="336" t="s">
        <v>1076</v>
      </c>
      <c r="C27" s="393">
        <v>9503</v>
      </c>
      <c r="D27" s="393">
        <v>9503</v>
      </c>
      <c r="E27" s="413">
        <f t="shared" ref="E27:E29" si="2">D27/C27*100</f>
        <v>100</v>
      </c>
    </row>
    <row r="28" spans="1:5" hidden="1" outlineLevel="1">
      <c r="A28" s="339" t="s">
        <v>194</v>
      </c>
      <c r="B28" s="394" t="s">
        <v>1077</v>
      </c>
      <c r="C28" s="393">
        <v>12415</v>
      </c>
      <c r="D28" s="393">
        <v>12008</v>
      </c>
      <c r="E28" s="413">
        <f t="shared" si="2"/>
        <v>96.721707611759967</v>
      </c>
    </row>
    <row r="29" spans="1:5" hidden="1" outlineLevel="1">
      <c r="A29" s="339" t="s">
        <v>194</v>
      </c>
      <c r="B29" s="395" t="s">
        <v>1078</v>
      </c>
      <c r="C29" s="393">
        <v>15686</v>
      </c>
      <c r="D29" s="393">
        <v>9214</v>
      </c>
      <c r="E29" s="413">
        <f t="shared" si="2"/>
        <v>58.740277954864204</v>
      </c>
    </row>
    <row r="30" spans="1:5" hidden="1" outlineLevel="1">
      <c r="A30" s="339" t="s">
        <v>30</v>
      </c>
      <c r="B30" s="336" t="s">
        <v>505</v>
      </c>
      <c r="C30" s="391">
        <v>762</v>
      </c>
      <c r="D30" s="391">
        <v>674</v>
      </c>
      <c r="E30" s="413">
        <f>D30/C30*100</f>
        <v>88.451443569553803</v>
      </c>
    </row>
    <row r="31" spans="1:5" hidden="1" outlineLevel="1">
      <c r="A31" s="335" t="s">
        <v>30</v>
      </c>
      <c r="B31" s="336" t="s">
        <v>1079</v>
      </c>
      <c r="C31" s="396">
        <v>0</v>
      </c>
      <c r="D31" s="391">
        <v>291</v>
      </c>
      <c r="E31" s="413"/>
    </row>
    <row r="32" spans="1:5" hidden="1" outlineLevel="1">
      <c r="A32" s="335" t="s">
        <v>30</v>
      </c>
      <c r="B32" s="336" t="s">
        <v>1080</v>
      </c>
      <c r="C32" s="397">
        <v>1460</v>
      </c>
      <c r="D32" s="397">
        <v>1642</v>
      </c>
      <c r="E32" s="414">
        <f t="shared" ref="E32" si="3">D32/C32*100</f>
        <v>112.46575342465755</v>
      </c>
    </row>
    <row r="33" spans="1:7" hidden="1" outlineLevel="1">
      <c r="A33" s="335" t="s">
        <v>30</v>
      </c>
      <c r="B33" s="336" t="s">
        <v>1081</v>
      </c>
      <c r="C33" s="397">
        <f>C34+C35</f>
        <v>0</v>
      </c>
      <c r="D33" s="397">
        <f>D34+D35</f>
        <v>4887</v>
      </c>
      <c r="E33" s="414"/>
    </row>
    <row r="34" spans="1:7" hidden="1" outlineLevel="1">
      <c r="A34" s="339" t="s">
        <v>194</v>
      </c>
      <c r="B34" s="336" t="s">
        <v>1082</v>
      </c>
      <c r="C34" s="398">
        <v>0</v>
      </c>
      <c r="D34" s="397">
        <v>2475</v>
      </c>
      <c r="E34" s="414"/>
      <c r="F34" s="385"/>
      <c r="G34" s="385"/>
    </row>
    <row r="35" spans="1:7" hidden="1" outlineLevel="1">
      <c r="A35" s="339" t="s">
        <v>194</v>
      </c>
      <c r="B35" s="336" t="s">
        <v>1083</v>
      </c>
      <c r="C35" s="398">
        <v>0</v>
      </c>
      <c r="D35" s="397">
        <v>2412</v>
      </c>
      <c r="E35" s="414"/>
    </row>
    <row r="36" spans="1:7" collapsed="1">
      <c r="A36" s="335">
        <v>8</v>
      </c>
      <c r="B36" s="336" t="s">
        <v>1028</v>
      </c>
      <c r="C36" s="391">
        <f>SUM(C37:C40)</f>
        <v>416</v>
      </c>
      <c r="D36" s="391">
        <f>SUM(D37:D40)</f>
        <v>1026.8</v>
      </c>
      <c r="E36" s="413">
        <f t="shared" ref="E36:E39" si="4">D36/C36*100</f>
        <v>246.82692307692307</v>
      </c>
      <c r="F36" s="386"/>
    </row>
    <row r="37" spans="1:7" hidden="1" outlineLevel="1">
      <c r="A37" s="335" t="s">
        <v>30</v>
      </c>
      <c r="B37" s="336" t="s">
        <v>1029</v>
      </c>
      <c r="C37" s="391">
        <v>250</v>
      </c>
      <c r="D37" s="391">
        <v>705.9</v>
      </c>
      <c r="E37" s="413">
        <f t="shared" si="4"/>
        <v>282.36</v>
      </c>
    </row>
    <row r="38" spans="1:7" hidden="1" outlineLevel="1">
      <c r="A38" s="335" t="s">
        <v>30</v>
      </c>
      <c r="B38" s="336" t="s">
        <v>1030</v>
      </c>
      <c r="C38" s="391">
        <v>100</v>
      </c>
      <c r="D38" s="391">
        <v>248.5</v>
      </c>
      <c r="E38" s="413">
        <f t="shared" si="4"/>
        <v>248.5</v>
      </c>
    </row>
    <row r="39" spans="1:7" hidden="1" outlineLevel="1">
      <c r="A39" s="335" t="s">
        <v>30</v>
      </c>
      <c r="B39" s="336" t="s">
        <v>1031</v>
      </c>
      <c r="C39" s="391">
        <v>66</v>
      </c>
      <c r="D39" s="391">
        <v>62.9</v>
      </c>
      <c r="E39" s="413">
        <f t="shared" si="4"/>
        <v>95.303030303030297</v>
      </c>
    </row>
    <row r="40" spans="1:7" hidden="1" outlineLevel="1">
      <c r="A40" s="335" t="s">
        <v>30</v>
      </c>
      <c r="B40" s="336" t="s">
        <v>1084</v>
      </c>
      <c r="C40" s="396">
        <v>0</v>
      </c>
      <c r="D40" s="399">
        <v>9.5</v>
      </c>
      <c r="E40" s="413"/>
    </row>
    <row r="41" spans="1:7" collapsed="1">
      <c r="A41" s="335">
        <v>9</v>
      </c>
      <c r="B41" s="336" t="s">
        <v>1085</v>
      </c>
      <c r="C41" s="396">
        <v>0</v>
      </c>
      <c r="D41" s="391">
        <f>D42</f>
        <v>3477</v>
      </c>
      <c r="E41" s="413"/>
    </row>
    <row r="42" spans="1:7" hidden="1">
      <c r="A42" s="335" t="s">
        <v>30</v>
      </c>
      <c r="B42" s="336" t="s">
        <v>1086</v>
      </c>
      <c r="C42" s="396">
        <v>0</v>
      </c>
      <c r="D42" s="391">
        <v>3477</v>
      </c>
      <c r="E42" s="413"/>
    </row>
    <row r="43" spans="1:7">
      <c r="A43" s="331" t="s">
        <v>33</v>
      </c>
      <c r="B43" s="332" t="s">
        <v>1017</v>
      </c>
      <c r="C43" s="390">
        <f>C44+C54+C58+C62+C66+C76+C80+C81+C85+C86</f>
        <v>28119.5</v>
      </c>
      <c r="D43" s="390">
        <f>D44+D54+D58+D62+D66+D76+D80+D81+D85+D86</f>
        <v>24012.959999999999</v>
      </c>
      <c r="E43" s="412">
        <f t="shared" ref="E43:E79" si="5">D43/C43*100</f>
        <v>85.396113017656788</v>
      </c>
    </row>
    <row r="44" spans="1:7">
      <c r="A44" s="335">
        <v>1</v>
      </c>
      <c r="B44" s="400" t="s">
        <v>656</v>
      </c>
      <c r="C44" s="391">
        <f>C45+C53</f>
        <v>6606</v>
      </c>
      <c r="D44" s="391">
        <f t="shared" ref="D44" si="6">D45+D53</f>
        <v>5877.66</v>
      </c>
      <c r="E44" s="413">
        <f t="shared" si="5"/>
        <v>88.974568574023621</v>
      </c>
    </row>
    <row r="45" spans="1:7" hidden="1" outlineLevel="1">
      <c r="A45" s="335" t="s">
        <v>191</v>
      </c>
      <c r="B45" s="336" t="s">
        <v>723</v>
      </c>
      <c r="C45" s="391">
        <f>C46</f>
        <v>3050</v>
      </c>
      <c r="D45" s="391">
        <f>D46</f>
        <v>2705.75</v>
      </c>
      <c r="E45" s="413">
        <f t="shared" si="5"/>
        <v>88.71311475409837</v>
      </c>
    </row>
    <row r="46" spans="1:7" hidden="1" outlineLevel="1">
      <c r="A46" s="335" t="s">
        <v>30</v>
      </c>
      <c r="B46" s="341" t="s">
        <v>333</v>
      </c>
      <c r="C46" s="391">
        <v>3050</v>
      </c>
      <c r="D46" s="391">
        <v>2705.75</v>
      </c>
      <c r="E46" s="413">
        <f t="shared" si="5"/>
        <v>88.71311475409837</v>
      </c>
    </row>
    <row r="47" spans="1:7" hidden="1" outlineLevel="1">
      <c r="A47" s="335" t="s">
        <v>30</v>
      </c>
      <c r="B47" s="341" t="s">
        <v>724</v>
      </c>
      <c r="C47" s="391"/>
      <c r="D47" s="391"/>
      <c r="E47" s="413"/>
    </row>
    <row r="48" spans="1:7" hidden="1" outlineLevel="1">
      <c r="A48" s="335" t="s">
        <v>192</v>
      </c>
      <c r="B48" s="336" t="s">
        <v>725</v>
      </c>
      <c r="C48" s="391"/>
      <c r="D48" s="391"/>
      <c r="E48" s="413"/>
    </row>
    <row r="49" spans="1:5" hidden="1" outlineLevel="1">
      <c r="A49" s="335" t="s">
        <v>193</v>
      </c>
      <c r="B49" s="336" t="s">
        <v>331</v>
      </c>
      <c r="C49" s="391"/>
      <c r="D49" s="391"/>
      <c r="E49" s="413"/>
    </row>
    <row r="50" spans="1:5" hidden="1" outlineLevel="1">
      <c r="A50" s="335" t="s">
        <v>218</v>
      </c>
      <c r="B50" s="336" t="s">
        <v>726</v>
      </c>
      <c r="C50" s="391"/>
      <c r="D50" s="391"/>
      <c r="E50" s="413"/>
    </row>
    <row r="51" spans="1:5" hidden="1" outlineLevel="1">
      <c r="A51" s="335" t="s">
        <v>1018</v>
      </c>
      <c r="B51" s="336" t="s">
        <v>727</v>
      </c>
      <c r="C51" s="391"/>
      <c r="D51" s="391"/>
      <c r="E51" s="413"/>
    </row>
    <row r="52" spans="1:5" hidden="1" outlineLevel="1">
      <c r="A52" s="335" t="s">
        <v>1019</v>
      </c>
      <c r="B52" s="336" t="s">
        <v>728</v>
      </c>
      <c r="C52" s="391"/>
      <c r="D52" s="391"/>
      <c r="E52" s="413"/>
    </row>
    <row r="53" spans="1:5" hidden="1" outlineLevel="1">
      <c r="A53" s="335" t="s">
        <v>1020</v>
      </c>
      <c r="B53" s="336" t="s">
        <v>324</v>
      </c>
      <c r="C53" s="391">
        <v>3556</v>
      </c>
      <c r="D53" s="391">
        <v>3171.91</v>
      </c>
      <c r="E53" s="413">
        <f t="shared" si="5"/>
        <v>89.198818897637793</v>
      </c>
    </row>
    <row r="54" spans="1:5" collapsed="1">
      <c r="A54" s="335">
        <v>2</v>
      </c>
      <c r="B54" s="400" t="s">
        <v>657</v>
      </c>
      <c r="C54" s="391">
        <f>C55</f>
        <v>848.9</v>
      </c>
      <c r="D54" s="391">
        <f>D55</f>
        <v>1327.6</v>
      </c>
      <c r="E54" s="413">
        <f t="shared" si="5"/>
        <v>156.39062315938273</v>
      </c>
    </row>
    <row r="55" spans="1:5" hidden="1" outlineLevel="1">
      <c r="A55" s="335"/>
      <c r="B55" s="336" t="s">
        <v>723</v>
      </c>
      <c r="C55" s="391">
        <f>C56+C57</f>
        <v>848.9</v>
      </c>
      <c r="D55" s="391">
        <f>D56+D57</f>
        <v>1327.6</v>
      </c>
      <c r="E55" s="413">
        <f t="shared" si="5"/>
        <v>156.39062315938273</v>
      </c>
    </row>
    <row r="56" spans="1:5" hidden="1" outlineLevel="1">
      <c r="A56" s="335" t="s">
        <v>30</v>
      </c>
      <c r="B56" s="341" t="s">
        <v>333</v>
      </c>
      <c r="C56" s="391">
        <v>848.9</v>
      </c>
      <c r="D56" s="391">
        <v>719.9</v>
      </c>
      <c r="E56" s="413">
        <f t="shared" si="5"/>
        <v>84.803863823771934</v>
      </c>
    </row>
    <row r="57" spans="1:5" hidden="1" outlineLevel="1">
      <c r="A57" s="335" t="s">
        <v>30</v>
      </c>
      <c r="B57" s="341" t="s">
        <v>724</v>
      </c>
      <c r="C57" s="391">
        <v>0</v>
      </c>
      <c r="D57" s="391">
        <v>607.70000000000005</v>
      </c>
      <c r="E57" s="413"/>
    </row>
    <row r="58" spans="1:5" collapsed="1">
      <c r="A58" s="335">
        <v>3</v>
      </c>
      <c r="B58" s="400" t="s">
        <v>658</v>
      </c>
      <c r="C58" s="391">
        <f>C59+C60+C61</f>
        <v>9864</v>
      </c>
      <c r="D58" s="401">
        <f>D59+D60+D61</f>
        <v>7670</v>
      </c>
      <c r="E58" s="413">
        <f t="shared" si="5"/>
        <v>77.757502027575015</v>
      </c>
    </row>
    <row r="59" spans="1:5" hidden="1" outlineLevel="1">
      <c r="A59" s="335" t="s">
        <v>30</v>
      </c>
      <c r="B59" s="400" t="s">
        <v>1021</v>
      </c>
      <c r="C59" s="391">
        <v>1300</v>
      </c>
      <c r="D59" s="391">
        <v>1254</v>
      </c>
      <c r="E59" s="413">
        <f t="shared" si="5"/>
        <v>96.461538461538467</v>
      </c>
    </row>
    <row r="60" spans="1:5" hidden="1" outlineLevel="1">
      <c r="A60" s="335" t="s">
        <v>30</v>
      </c>
      <c r="B60" s="400" t="s">
        <v>1022</v>
      </c>
      <c r="C60" s="391">
        <v>1615</v>
      </c>
      <c r="D60" s="391">
        <v>1521</v>
      </c>
      <c r="E60" s="413">
        <f t="shared" si="5"/>
        <v>94.179566563467489</v>
      </c>
    </row>
    <row r="61" spans="1:5" hidden="1" outlineLevel="1">
      <c r="A61" s="335" t="s">
        <v>30</v>
      </c>
      <c r="B61" s="400" t="s">
        <v>333</v>
      </c>
      <c r="C61" s="391">
        <v>6949</v>
      </c>
      <c r="D61" s="391">
        <v>4895</v>
      </c>
      <c r="E61" s="413">
        <f t="shared" si="5"/>
        <v>70.441790185638226</v>
      </c>
    </row>
    <row r="62" spans="1:5" collapsed="1">
      <c r="A62" s="335">
        <v>4</v>
      </c>
      <c r="B62" s="400" t="s">
        <v>659</v>
      </c>
      <c r="C62" s="391">
        <f>C63+C64+C65</f>
        <v>3667</v>
      </c>
      <c r="D62" s="391">
        <f>D63+D64+D65</f>
        <v>2505.4</v>
      </c>
      <c r="E62" s="413">
        <f t="shared" si="5"/>
        <v>68.322879738205629</v>
      </c>
    </row>
    <row r="63" spans="1:5" hidden="1" outlineLevel="1">
      <c r="A63" s="335" t="s">
        <v>30</v>
      </c>
      <c r="B63" s="336" t="s">
        <v>723</v>
      </c>
      <c r="C63" s="391">
        <v>1308</v>
      </c>
      <c r="D63" s="391">
        <v>1165</v>
      </c>
      <c r="E63" s="413">
        <f t="shared" si="5"/>
        <v>89.067278287461775</v>
      </c>
    </row>
    <row r="64" spans="1:5" hidden="1" outlineLevel="1">
      <c r="A64" s="335" t="s">
        <v>30</v>
      </c>
      <c r="B64" s="400" t="s">
        <v>1021</v>
      </c>
      <c r="C64" s="391">
        <v>464</v>
      </c>
      <c r="D64" s="391">
        <v>402.8</v>
      </c>
      <c r="E64" s="413">
        <f t="shared" si="5"/>
        <v>86.810344827586206</v>
      </c>
    </row>
    <row r="65" spans="1:5" hidden="1" outlineLevel="1">
      <c r="A65" s="335"/>
      <c r="B65" s="400" t="s">
        <v>324</v>
      </c>
      <c r="C65" s="391">
        <v>1895</v>
      </c>
      <c r="D65" s="391">
        <v>937.6</v>
      </c>
      <c r="E65" s="413">
        <f t="shared" si="5"/>
        <v>49.477572559366756</v>
      </c>
    </row>
    <row r="66" spans="1:5" collapsed="1">
      <c r="A66" s="335">
        <v>5</v>
      </c>
      <c r="B66" s="400" t="s">
        <v>660</v>
      </c>
      <c r="C66" s="391">
        <f>C67+C75</f>
        <v>3125.6</v>
      </c>
      <c r="D66" s="391">
        <f>D67+D75</f>
        <v>2815.3</v>
      </c>
      <c r="E66" s="413">
        <f t="shared" si="5"/>
        <v>90.072306117225494</v>
      </c>
    </row>
    <row r="67" spans="1:5" hidden="1" outlineLevel="1">
      <c r="A67" s="335" t="s">
        <v>226</v>
      </c>
      <c r="B67" s="336" t="s">
        <v>723</v>
      </c>
      <c r="C67" s="391">
        <f>C68+C69</f>
        <v>1292.5999999999999</v>
      </c>
      <c r="D67" s="391">
        <f>D68+D69</f>
        <v>984.3</v>
      </c>
      <c r="E67" s="413">
        <f t="shared" si="5"/>
        <v>76.148847284542782</v>
      </c>
    </row>
    <row r="68" spans="1:5" hidden="1" outlineLevel="1">
      <c r="A68" s="335" t="s">
        <v>30</v>
      </c>
      <c r="B68" s="341" t="s">
        <v>333</v>
      </c>
      <c r="C68" s="391">
        <v>523.6</v>
      </c>
      <c r="D68" s="391">
        <v>408.5</v>
      </c>
      <c r="E68" s="413">
        <f t="shared" si="5"/>
        <v>78.017570664629488</v>
      </c>
    </row>
    <row r="69" spans="1:5" hidden="1" outlineLevel="1">
      <c r="A69" s="335" t="s">
        <v>30</v>
      </c>
      <c r="B69" s="341" t="s">
        <v>724</v>
      </c>
      <c r="C69" s="391">
        <v>769</v>
      </c>
      <c r="D69" s="391">
        <v>575.79999999999995</v>
      </c>
      <c r="E69" s="413">
        <f t="shared" si="5"/>
        <v>74.876462938881659</v>
      </c>
    </row>
    <row r="70" spans="1:5" hidden="1" outlineLevel="1">
      <c r="A70" s="335" t="s">
        <v>227</v>
      </c>
      <c r="B70" s="336" t="s">
        <v>725</v>
      </c>
      <c r="C70" s="391"/>
      <c r="D70" s="391"/>
      <c r="E70" s="413"/>
    </row>
    <row r="71" spans="1:5" hidden="1" outlineLevel="1">
      <c r="A71" s="335" t="s">
        <v>228</v>
      </c>
      <c r="B71" s="336" t="s">
        <v>331</v>
      </c>
      <c r="C71" s="391"/>
      <c r="D71" s="391"/>
      <c r="E71" s="413"/>
    </row>
    <row r="72" spans="1:5" hidden="1" outlineLevel="1">
      <c r="A72" s="335" t="s">
        <v>1023</v>
      </c>
      <c r="B72" s="336" t="s">
        <v>726</v>
      </c>
      <c r="C72" s="391"/>
      <c r="D72" s="391"/>
      <c r="E72" s="413"/>
    </row>
    <row r="73" spans="1:5" hidden="1" outlineLevel="1">
      <c r="A73" s="335" t="s">
        <v>1024</v>
      </c>
      <c r="B73" s="336" t="s">
        <v>727</v>
      </c>
      <c r="C73" s="391"/>
      <c r="D73" s="391"/>
      <c r="E73" s="413"/>
    </row>
    <row r="74" spans="1:5" hidden="1" outlineLevel="1">
      <c r="A74" s="335" t="s">
        <v>1025</v>
      </c>
      <c r="B74" s="336" t="s">
        <v>728</v>
      </c>
      <c r="C74" s="391"/>
      <c r="D74" s="391"/>
      <c r="E74" s="413"/>
    </row>
    <row r="75" spans="1:5" hidden="1" outlineLevel="1">
      <c r="A75" s="335" t="s">
        <v>1026</v>
      </c>
      <c r="B75" s="336" t="s">
        <v>324</v>
      </c>
      <c r="C75" s="391">
        <v>1833</v>
      </c>
      <c r="D75" s="391">
        <v>1831</v>
      </c>
      <c r="E75" s="413">
        <f t="shared" si="5"/>
        <v>99.890889252591379</v>
      </c>
    </row>
    <row r="76" spans="1:5" collapsed="1">
      <c r="A76" s="335">
        <v>6</v>
      </c>
      <c r="B76" s="400" t="s">
        <v>661</v>
      </c>
      <c r="C76" s="391">
        <f>C77+C78+C79</f>
        <v>1865</v>
      </c>
      <c r="D76" s="391">
        <f>D77+D78+D79</f>
        <v>1505</v>
      </c>
      <c r="E76" s="413">
        <f t="shared" si="5"/>
        <v>80.697050938337796</v>
      </c>
    </row>
    <row r="77" spans="1:5" hidden="1" outlineLevel="1">
      <c r="A77" s="335" t="s">
        <v>30</v>
      </c>
      <c r="B77" s="336" t="s">
        <v>723</v>
      </c>
      <c r="C77" s="391">
        <v>982</v>
      </c>
      <c r="D77" s="391">
        <v>607</v>
      </c>
      <c r="E77" s="413">
        <f t="shared" si="5"/>
        <v>61.812627291242364</v>
      </c>
    </row>
    <row r="78" spans="1:5" hidden="1" outlineLevel="1">
      <c r="A78" s="335" t="s">
        <v>30</v>
      </c>
      <c r="B78" s="400" t="s">
        <v>1021</v>
      </c>
      <c r="C78" s="391">
        <v>861</v>
      </c>
      <c r="D78" s="391">
        <v>876</v>
      </c>
      <c r="E78" s="413">
        <f t="shared" si="5"/>
        <v>101.74216027874566</v>
      </c>
    </row>
    <row r="79" spans="1:5" hidden="1" outlineLevel="1">
      <c r="A79" s="335" t="s">
        <v>30</v>
      </c>
      <c r="B79" s="400" t="s">
        <v>324</v>
      </c>
      <c r="C79" s="391">
        <v>22</v>
      </c>
      <c r="D79" s="391">
        <v>22</v>
      </c>
      <c r="E79" s="413">
        <f t="shared" si="5"/>
        <v>100</v>
      </c>
    </row>
    <row r="80" spans="1:5" collapsed="1">
      <c r="A80" s="335">
        <v>7</v>
      </c>
      <c r="B80" s="400" t="s">
        <v>662</v>
      </c>
      <c r="C80" s="396">
        <v>0</v>
      </c>
      <c r="D80" s="396">
        <v>0</v>
      </c>
      <c r="E80" s="413">
        <v>0</v>
      </c>
    </row>
    <row r="81" spans="1:5">
      <c r="A81" s="335">
        <v>8</v>
      </c>
      <c r="B81" s="400" t="s">
        <v>613</v>
      </c>
      <c r="C81" s="391">
        <f>C82+C83+C84</f>
        <v>484</v>
      </c>
      <c r="D81" s="391">
        <f>D82+D83+D84</f>
        <v>653</v>
      </c>
      <c r="E81" s="413">
        <f t="shared" ref="E81:E83" si="7">D81/C81*100</f>
        <v>134.91735537190081</v>
      </c>
    </row>
    <row r="82" spans="1:5" hidden="1" outlineLevel="1">
      <c r="A82" s="335" t="s">
        <v>30</v>
      </c>
      <c r="B82" s="400" t="s">
        <v>1021</v>
      </c>
      <c r="C82" s="391">
        <v>350</v>
      </c>
      <c r="D82" s="391">
        <v>436</v>
      </c>
      <c r="E82" s="413">
        <f t="shared" si="7"/>
        <v>124.57142857142858</v>
      </c>
    </row>
    <row r="83" spans="1:5" hidden="1" outlineLevel="1">
      <c r="A83" s="335"/>
      <c r="B83" s="336" t="s">
        <v>1027</v>
      </c>
      <c r="C83" s="391">
        <v>134</v>
      </c>
      <c r="D83" s="391">
        <v>134</v>
      </c>
      <c r="E83" s="413">
        <f t="shared" si="7"/>
        <v>100</v>
      </c>
    </row>
    <row r="84" spans="1:5" hidden="1" outlineLevel="1">
      <c r="A84" s="335"/>
      <c r="B84" s="400" t="s">
        <v>333</v>
      </c>
      <c r="C84" s="396">
        <v>0</v>
      </c>
      <c r="D84" s="391">
        <v>83</v>
      </c>
      <c r="E84" s="413"/>
    </row>
    <row r="85" spans="1:5" collapsed="1">
      <c r="A85" s="335">
        <v>9</v>
      </c>
      <c r="B85" s="400" t="s">
        <v>663</v>
      </c>
      <c r="C85" s="391">
        <v>1531</v>
      </c>
      <c r="D85" s="391">
        <v>1531</v>
      </c>
      <c r="E85" s="413">
        <f t="shared" ref="E85:E86" si="8">D85/C85*100</f>
        <v>100</v>
      </c>
    </row>
    <row r="86" spans="1:5">
      <c r="A86" s="335">
        <v>10</v>
      </c>
      <c r="B86" s="400" t="s">
        <v>664</v>
      </c>
      <c r="C86" s="391">
        <v>128</v>
      </c>
      <c r="D86" s="391">
        <v>128</v>
      </c>
      <c r="E86" s="413">
        <f t="shared" si="8"/>
        <v>100</v>
      </c>
    </row>
    <row r="87" spans="1:5" ht="7.5" customHeight="1">
      <c r="A87" s="402"/>
      <c r="B87" s="403"/>
      <c r="C87" s="404"/>
      <c r="D87" s="404"/>
      <c r="E87" s="403"/>
    </row>
    <row r="89" spans="1:5">
      <c r="C89" s="127"/>
      <c r="D89" s="128"/>
      <c r="E89" s="128"/>
    </row>
    <row r="90" spans="1:5">
      <c r="C90" s="128"/>
      <c r="D90" s="128"/>
      <c r="E90" s="128"/>
    </row>
  </sheetData>
  <mergeCells count="6">
    <mergeCell ref="D6:E6"/>
    <mergeCell ref="A1:E1"/>
    <mergeCell ref="A2:E2"/>
    <mergeCell ref="A3:E3"/>
    <mergeCell ref="A4:E4"/>
    <mergeCell ref="A5:D5"/>
  </mergeCells>
  <pageMargins left="0.7" right="0.2" top="0.31" bottom="0.22" header="0.3" footer="0.2"/>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BB58"/>
  <sheetViews>
    <sheetView showZeros="0" zoomScale="80" zoomScaleNormal="80" workbookViewId="0">
      <pane xSplit="2" ySplit="13" topLeftCell="C40" activePane="bottomRight" state="frozen"/>
      <selection pane="topRight" activeCell="C1" sqref="C1"/>
      <selection pane="bottomLeft" activeCell="A14" sqref="A14"/>
      <selection pane="bottomRight" sqref="A1:B1"/>
    </sheetView>
  </sheetViews>
  <sheetFormatPr defaultColWidth="9.125" defaultRowHeight="15" outlineLevelCol="1"/>
  <cols>
    <col min="1" max="1" width="5.75" style="183" customWidth="1"/>
    <col min="2" max="2" width="25" style="183" customWidth="1"/>
    <col min="3" max="3" width="11" style="19" customWidth="1"/>
    <col min="4" max="4" width="9.125" style="19" hidden="1" customWidth="1" outlineLevel="1"/>
    <col min="5" max="5" width="8.625" style="19" hidden="1" customWidth="1" outlineLevel="1"/>
    <col min="6" max="7" width="9.125" style="19" hidden="1" customWidth="1" outlineLevel="1"/>
    <col min="8" max="8" width="8.875" style="19" hidden="1" customWidth="1" outlineLevel="1"/>
    <col min="9" max="12" width="9.125" style="19" hidden="1" customWidth="1" outlineLevel="1"/>
    <col min="13" max="13" width="11.875" style="19" hidden="1" customWidth="1" outlineLevel="1"/>
    <col min="14" max="14" width="10.25" style="19" hidden="1" customWidth="1" outlineLevel="1"/>
    <col min="15" max="16" width="9.125" style="19" hidden="1" customWidth="1" outlineLevel="1"/>
    <col min="17" max="17" width="10.625" style="19" hidden="1" customWidth="1" outlineLevel="1"/>
    <col min="18" max="19" width="9.125" style="19" hidden="1" customWidth="1" outlineLevel="1"/>
    <col min="20" max="20" width="11" style="183" customWidth="1" collapsed="1"/>
    <col min="21" max="36" width="9.125" style="183" hidden="1" customWidth="1" outlineLevel="1"/>
    <col min="37" max="37" width="9.125" style="183" collapsed="1"/>
    <col min="38" max="53" width="9.125" style="183" hidden="1" customWidth="1" outlineLevel="1"/>
    <col min="54" max="54" width="9.125" style="183" collapsed="1"/>
    <col min="55" max="16384" width="9.125" style="183"/>
  </cols>
  <sheetData>
    <row r="1" spans="1:53" ht="15" customHeight="1">
      <c r="A1" s="586" t="s">
        <v>1015</v>
      </c>
      <c r="B1" s="586"/>
      <c r="Q1" s="532"/>
      <c r="R1" s="532"/>
      <c r="S1" s="532"/>
    </row>
    <row r="2" spans="1:53">
      <c r="A2" s="261"/>
    </row>
    <row r="3" spans="1:53">
      <c r="A3" s="587" t="s">
        <v>937</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7"/>
      <c r="AJ3" s="587"/>
      <c r="AK3" s="587"/>
      <c r="AL3" s="587"/>
      <c r="AM3" s="587"/>
      <c r="AN3" s="587"/>
      <c r="AO3" s="587"/>
      <c r="AP3" s="587"/>
      <c r="AQ3" s="587"/>
      <c r="AR3" s="587"/>
      <c r="AS3" s="587"/>
      <c r="AT3" s="587"/>
      <c r="AU3" s="587"/>
      <c r="AV3" s="587"/>
      <c r="AW3" s="587"/>
      <c r="AX3" s="587"/>
      <c r="AY3" s="587"/>
      <c r="AZ3" s="587"/>
      <c r="BA3" s="587"/>
    </row>
    <row r="4" spans="1:53">
      <c r="A4" s="588" t="s">
        <v>871</v>
      </c>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588"/>
      <c r="AX4" s="588"/>
      <c r="AY4" s="588"/>
      <c r="AZ4" s="588"/>
      <c r="BA4" s="588"/>
    </row>
    <row r="5" spans="1:53">
      <c r="B5" s="262"/>
    </row>
    <row r="6" spans="1:53">
      <c r="B6" s="262"/>
      <c r="R6" s="239"/>
      <c r="S6" s="239"/>
      <c r="AZ6" s="588" t="s">
        <v>63</v>
      </c>
      <c r="BA6" s="588"/>
    </row>
    <row r="7" spans="1:53" s="228" customFormat="1" ht="24.75" customHeight="1">
      <c r="A7" s="584" t="s">
        <v>16</v>
      </c>
      <c r="B7" s="584" t="s">
        <v>64</v>
      </c>
      <c r="C7" s="589" t="s">
        <v>665</v>
      </c>
      <c r="D7" s="589"/>
      <c r="E7" s="589"/>
      <c r="F7" s="589"/>
      <c r="G7" s="589"/>
      <c r="H7" s="589"/>
      <c r="I7" s="589"/>
      <c r="J7" s="589"/>
      <c r="K7" s="589"/>
      <c r="L7" s="589"/>
      <c r="M7" s="589"/>
      <c r="N7" s="589"/>
      <c r="O7" s="589"/>
      <c r="P7" s="589"/>
      <c r="Q7" s="589"/>
      <c r="R7" s="589"/>
      <c r="S7" s="589"/>
      <c r="T7" s="590" t="s">
        <v>686</v>
      </c>
      <c r="U7" s="590"/>
      <c r="V7" s="590"/>
      <c r="W7" s="590"/>
      <c r="X7" s="590"/>
      <c r="Y7" s="590"/>
      <c r="Z7" s="590"/>
      <c r="AA7" s="590"/>
      <c r="AB7" s="590"/>
      <c r="AC7" s="590"/>
      <c r="AD7" s="590"/>
      <c r="AE7" s="590"/>
      <c r="AF7" s="590"/>
      <c r="AG7" s="590"/>
      <c r="AH7" s="590"/>
      <c r="AI7" s="590"/>
      <c r="AJ7" s="590"/>
      <c r="AK7" s="590" t="s">
        <v>687</v>
      </c>
      <c r="AL7" s="590"/>
      <c r="AM7" s="590"/>
      <c r="AN7" s="590"/>
      <c r="AO7" s="590"/>
      <c r="AP7" s="590"/>
      <c r="AQ7" s="590"/>
      <c r="AR7" s="590"/>
      <c r="AS7" s="590"/>
      <c r="AT7" s="590"/>
      <c r="AU7" s="590"/>
      <c r="AV7" s="590"/>
      <c r="AW7" s="590"/>
      <c r="AX7" s="590"/>
      <c r="AY7" s="590"/>
      <c r="AZ7" s="590"/>
      <c r="BA7" s="590"/>
    </row>
    <row r="8" spans="1:53">
      <c r="A8" s="584"/>
      <c r="B8" s="584"/>
      <c r="C8" s="513" t="s">
        <v>158</v>
      </c>
      <c r="D8" s="513" t="s">
        <v>164</v>
      </c>
      <c r="E8" s="513"/>
      <c r="F8" s="513" t="s">
        <v>676</v>
      </c>
      <c r="G8" s="513"/>
      <c r="H8" s="513"/>
      <c r="I8" s="513"/>
      <c r="J8" s="513"/>
      <c r="K8" s="513"/>
      <c r="L8" s="513"/>
      <c r="M8" s="513" t="s">
        <v>675</v>
      </c>
      <c r="N8" s="513"/>
      <c r="O8" s="513"/>
      <c r="P8" s="513"/>
      <c r="Q8" s="513"/>
      <c r="R8" s="513"/>
      <c r="S8" s="513"/>
      <c r="T8" s="584" t="s">
        <v>158</v>
      </c>
      <c r="U8" s="584" t="s">
        <v>164</v>
      </c>
      <c r="V8" s="584"/>
      <c r="W8" s="584" t="s">
        <v>676</v>
      </c>
      <c r="X8" s="584"/>
      <c r="Y8" s="584"/>
      <c r="Z8" s="584"/>
      <c r="AA8" s="584"/>
      <c r="AB8" s="584"/>
      <c r="AC8" s="584"/>
      <c r="AD8" s="584" t="s">
        <v>675</v>
      </c>
      <c r="AE8" s="584"/>
      <c r="AF8" s="584"/>
      <c r="AG8" s="584"/>
      <c r="AH8" s="584"/>
      <c r="AI8" s="584"/>
      <c r="AJ8" s="584"/>
      <c r="AK8" s="584" t="s">
        <v>158</v>
      </c>
      <c r="AL8" s="584" t="s">
        <v>164</v>
      </c>
      <c r="AM8" s="584"/>
      <c r="AN8" s="584" t="s">
        <v>676</v>
      </c>
      <c r="AO8" s="584"/>
      <c r="AP8" s="584"/>
      <c r="AQ8" s="584"/>
      <c r="AR8" s="584"/>
      <c r="AS8" s="584"/>
      <c r="AT8" s="584"/>
      <c r="AU8" s="584" t="s">
        <v>675</v>
      </c>
      <c r="AV8" s="584"/>
      <c r="AW8" s="584"/>
      <c r="AX8" s="584"/>
      <c r="AY8" s="584"/>
      <c r="AZ8" s="584"/>
      <c r="BA8" s="584"/>
    </row>
    <row r="9" spans="1:53">
      <c r="A9" s="584"/>
      <c r="B9" s="584"/>
      <c r="C9" s="513"/>
      <c r="D9" s="585" t="s">
        <v>188</v>
      </c>
      <c r="E9" s="585" t="s">
        <v>189</v>
      </c>
      <c r="F9" s="513" t="s">
        <v>158</v>
      </c>
      <c r="G9" s="585" t="s">
        <v>188</v>
      </c>
      <c r="H9" s="585"/>
      <c r="I9" s="585"/>
      <c r="J9" s="585" t="s">
        <v>189</v>
      </c>
      <c r="K9" s="585"/>
      <c r="L9" s="585"/>
      <c r="M9" s="513" t="s">
        <v>158</v>
      </c>
      <c r="N9" s="585" t="s">
        <v>188</v>
      </c>
      <c r="O9" s="585"/>
      <c r="P9" s="585"/>
      <c r="Q9" s="585" t="s">
        <v>189</v>
      </c>
      <c r="R9" s="585"/>
      <c r="S9" s="585"/>
      <c r="T9" s="584"/>
      <c r="U9" s="583" t="s">
        <v>188</v>
      </c>
      <c r="V9" s="583" t="s">
        <v>189</v>
      </c>
      <c r="W9" s="584" t="s">
        <v>158</v>
      </c>
      <c r="X9" s="583" t="s">
        <v>188</v>
      </c>
      <c r="Y9" s="583"/>
      <c r="Z9" s="583"/>
      <c r="AA9" s="583" t="s">
        <v>189</v>
      </c>
      <c r="AB9" s="583"/>
      <c r="AC9" s="583"/>
      <c r="AD9" s="584" t="s">
        <v>158</v>
      </c>
      <c r="AE9" s="583" t="s">
        <v>188</v>
      </c>
      <c r="AF9" s="583"/>
      <c r="AG9" s="583"/>
      <c r="AH9" s="583" t="s">
        <v>189</v>
      </c>
      <c r="AI9" s="583"/>
      <c r="AJ9" s="583"/>
      <c r="AK9" s="584"/>
      <c r="AL9" s="583" t="s">
        <v>188</v>
      </c>
      <c r="AM9" s="583" t="s">
        <v>189</v>
      </c>
      <c r="AN9" s="584" t="s">
        <v>158</v>
      </c>
      <c r="AO9" s="583" t="s">
        <v>188</v>
      </c>
      <c r="AP9" s="583"/>
      <c r="AQ9" s="583"/>
      <c r="AR9" s="583" t="s">
        <v>189</v>
      </c>
      <c r="AS9" s="583"/>
      <c r="AT9" s="583"/>
      <c r="AU9" s="584" t="s">
        <v>158</v>
      </c>
      <c r="AV9" s="583" t="s">
        <v>188</v>
      </c>
      <c r="AW9" s="583"/>
      <c r="AX9" s="583"/>
      <c r="AY9" s="583" t="s">
        <v>189</v>
      </c>
      <c r="AZ9" s="583"/>
      <c r="BA9" s="583"/>
    </row>
    <row r="10" spans="1:53" ht="46.5" customHeight="1">
      <c r="A10" s="584"/>
      <c r="B10" s="584"/>
      <c r="C10" s="513"/>
      <c r="D10" s="585"/>
      <c r="E10" s="585"/>
      <c r="F10" s="513"/>
      <c r="G10" s="243" t="s">
        <v>158</v>
      </c>
      <c r="H10" s="243" t="s">
        <v>177</v>
      </c>
      <c r="I10" s="243" t="s">
        <v>176</v>
      </c>
      <c r="J10" s="243" t="s">
        <v>158</v>
      </c>
      <c r="K10" s="243" t="s">
        <v>177</v>
      </c>
      <c r="L10" s="243" t="s">
        <v>176</v>
      </c>
      <c r="M10" s="513"/>
      <c r="N10" s="243" t="s">
        <v>158</v>
      </c>
      <c r="O10" s="243" t="s">
        <v>177</v>
      </c>
      <c r="P10" s="243" t="s">
        <v>176</v>
      </c>
      <c r="Q10" s="243" t="s">
        <v>158</v>
      </c>
      <c r="R10" s="243" t="s">
        <v>177</v>
      </c>
      <c r="S10" s="243" t="s">
        <v>176</v>
      </c>
      <c r="T10" s="584"/>
      <c r="U10" s="583"/>
      <c r="V10" s="583"/>
      <c r="W10" s="584"/>
      <c r="X10" s="229" t="s">
        <v>158</v>
      </c>
      <c r="Y10" s="229" t="s">
        <v>177</v>
      </c>
      <c r="Z10" s="229" t="s">
        <v>176</v>
      </c>
      <c r="AA10" s="229" t="s">
        <v>158</v>
      </c>
      <c r="AB10" s="229" t="s">
        <v>177</v>
      </c>
      <c r="AC10" s="229" t="s">
        <v>176</v>
      </c>
      <c r="AD10" s="584"/>
      <c r="AE10" s="229" t="s">
        <v>158</v>
      </c>
      <c r="AF10" s="229" t="s">
        <v>177</v>
      </c>
      <c r="AG10" s="229" t="s">
        <v>176</v>
      </c>
      <c r="AH10" s="229" t="s">
        <v>158</v>
      </c>
      <c r="AI10" s="229" t="s">
        <v>177</v>
      </c>
      <c r="AJ10" s="229" t="s">
        <v>176</v>
      </c>
      <c r="AK10" s="584"/>
      <c r="AL10" s="583"/>
      <c r="AM10" s="583"/>
      <c r="AN10" s="584"/>
      <c r="AO10" s="229" t="s">
        <v>158</v>
      </c>
      <c r="AP10" s="229" t="s">
        <v>177</v>
      </c>
      <c r="AQ10" s="229" t="s">
        <v>176</v>
      </c>
      <c r="AR10" s="229" t="s">
        <v>158</v>
      </c>
      <c r="AS10" s="229" t="s">
        <v>177</v>
      </c>
      <c r="AT10" s="229" t="s">
        <v>176</v>
      </c>
      <c r="AU10" s="584"/>
      <c r="AV10" s="229" t="s">
        <v>158</v>
      </c>
      <c r="AW10" s="229" t="s">
        <v>177</v>
      </c>
      <c r="AX10" s="229" t="s">
        <v>176</v>
      </c>
      <c r="AY10" s="229" t="s">
        <v>158</v>
      </c>
      <c r="AZ10" s="229" t="s">
        <v>177</v>
      </c>
      <c r="BA10" s="229" t="s">
        <v>176</v>
      </c>
    </row>
    <row r="11" spans="1:53" ht="27" customHeight="1">
      <c r="A11" s="229" t="s">
        <v>23</v>
      </c>
      <c r="B11" s="229" t="s">
        <v>24</v>
      </c>
      <c r="C11" s="243" t="s">
        <v>152</v>
      </c>
      <c r="D11" s="243" t="s">
        <v>674</v>
      </c>
      <c r="E11" s="243" t="s">
        <v>673</v>
      </c>
      <c r="F11" s="243" t="s">
        <v>672</v>
      </c>
      <c r="G11" s="243" t="s">
        <v>671</v>
      </c>
      <c r="H11" s="243">
        <v>6</v>
      </c>
      <c r="I11" s="243">
        <v>7</v>
      </c>
      <c r="J11" s="243" t="s">
        <v>670</v>
      </c>
      <c r="K11" s="243">
        <v>9</v>
      </c>
      <c r="L11" s="243">
        <v>10</v>
      </c>
      <c r="M11" s="243" t="s">
        <v>669</v>
      </c>
      <c r="N11" s="243" t="s">
        <v>668</v>
      </c>
      <c r="O11" s="243">
        <v>13</v>
      </c>
      <c r="P11" s="243">
        <v>14</v>
      </c>
      <c r="Q11" s="243" t="s">
        <v>667</v>
      </c>
      <c r="R11" s="243">
        <v>16</v>
      </c>
      <c r="S11" s="243">
        <v>17</v>
      </c>
      <c r="T11" s="229" t="s">
        <v>677</v>
      </c>
      <c r="U11" s="229" t="s">
        <v>678</v>
      </c>
      <c r="V11" s="229" t="s">
        <v>679</v>
      </c>
      <c r="W11" s="229" t="s">
        <v>680</v>
      </c>
      <c r="X11" s="229" t="s">
        <v>681</v>
      </c>
      <c r="Y11" s="229">
        <v>8</v>
      </c>
      <c r="Z11" s="229">
        <v>9</v>
      </c>
      <c r="AA11" s="229" t="s">
        <v>682</v>
      </c>
      <c r="AB11" s="229">
        <v>11</v>
      </c>
      <c r="AC11" s="229">
        <v>12</v>
      </c>
      <c r="AD11" s="229" t="s">
        <v>683</v>
      </c>
      <c r="AE11" s="229" t="s">
        <v>684</v>
      </c>
      <c r="AF11" s="229">
        <v>15</v>
      </c>
      <c r="AG11" s="229">
        <v>16</v>
      </c>
      <c r="AH11" s="229" t="s">
        <v>685</v>
      </c>
      <c r="AI11" s="229">
        <v>18</v>
      </c>
      <c r="AJ11" s="229">
        <v>19</v>
      </c>
      <c r="AK11" s="229" t="s">
        <v>899</v>
      </c>
      <c r="AL11" s="229" t="s">
        <v>900</v>
      </c>
      <c r="AM11" s="229" t="s">
        <v>901</v>
      </c>
      <c r="AN11" s="229" t="s">
        <v>902</v>
      </c>
      <c r="AO11" s="229" t="s">
        <v>903</v>
      </c>
      <c r="AP11" s="229" t="s">
        <v>904</v>
      </c>
      <c r="AQ11" s="229" t="s">
        <v>905</v>
      </c>
      <c r="AR11" s="229" t="s">
        <v>906</v>
      </c>
      <c r="AS11" s="229" t="s">
        <v>907</v>
      </c>
      <c r="AT11" s="229" t="s">
        <v>908</v>
      </c>
      <c r="AU11" s="229" t="s">
        <v>909</v>
      </c>
      <c r="AV11" s="229" t="s">
        <v>910</v>
      </c>
      <c r="AW11" s="229" t="s">
        <v>911</v>
      </c>
      <c r="AX11" s="229" t="s">
        <v>912</v>
      </c>
      <c r="AY11" s="229" t="s">
        <v>913</v>
      </c>
      <c r="AZ11" s="229" t="s">
        <v>914</v>
      </c>
      <c r="BA11" s="229" t="s">
        <v>915</v>
      </c>
    </row>
    <row r="12" spans="1:53">
      <c r="A12" s="263"/>
      <c r="B12" s="264" t="s">
        <v>160</v>
      </c>
      <c r="C12" s="226">
        <f t="shared" ref="C12:AJ12" si="0">SUBTOTAL(9,C13:C45)</f>
        <v>661008</v>
      </c>
      <c r="D12" s="226">
        <f t="shared" si="0"/>
        <v>512816</v>
      </c>
      <c r="E12" s="226">
        <f t="shared" si="0"/>
        <v>148192</v>
      </c>
      <c r="F12" s="226">
        <f t="shared" si="0"/>
        <v>288518</v>
      </c>
      <c r="G12" s="226">
        <f t="shared" si="0"/>
        <v>228626</v>
      </c>
      <c r="H12" s="226">
        <f t="shared" si="0"/>
        <v>162551</v>
      </c>
      <c r="I12" s="226">
        <f t="shared" si="0"/>
        <v>66075</v>
      </c>
      <c r="J12" s="226">
        <f t="shared" si="0"/>
        <v>59892</v>
      </c>
      <c r="K12" s="226">
        <f t="shared" si="0"/>
        <v>59892</v>
      </c>
      <c r="L12" s="226">
        <f t="shared" si="0"/>
        <v>0</v>
      </c>
      <c r="M12" s="226">
        <f t="shared" si="0"/>
        <v>372490</v>
      </c>
      <c r="N12" s="226">
        <f t="shared" si="0"/>
        <v>284190</v>
      </c>
      <c r="O12" s="226">
        <f t="shared" si="0"/>
        <v>164190</v>
      </c>
      <c r="P12" s="226">
        <f t="shared" si="0"/>
        <v>120000</v>
      </c>
      <c r="Q12" s="226">
        <f t="shared" si="0"/>
        <v>88300</v>
      </c>
      <c r="R12" s="226">
        <f t="shared" si="0"/>
        <v>88300</v>
      </c>
      <c r="S12" s="226">
        <f t="shared" si="0"/>
        <v>0</v>
      </c>
      <c r="T12" s="17">
        <f t="shared" si="0"/>
        <v>690045.38341300003</v>
      </c>
      <c r="U12" s="17">
        <f t="shared" si="0"/>
        <v>549396.58079600008</v>
      </c>
      <c r="V12" s="17">
        <f t="shared" si="0"/>
        <v>140648.80261700001</v>
      </c>
      <c r="W12" s="17">
        <f t="shared" si="0"/>
        <v>316977.92241899995</v>
      </c>
      <c r="X12" s="17">
        <f t="shared" si="0"/>
        <v>259669.26376999999</v>
      </c>
      <c r="Y12" s="17">
        <f t="shared" si="0"/>
        <v>194812.15677</v>
      </c>
      <c r="Z12" s="17">
        <f t="shared" si="0"/>
        <v>64857.107000000004</v>
      </c>
      <c r="AA12" s="17">
        <f t="shared" si="0"/>
        <v>57308.65864899999</v>
      </c>
      <c r="AB12" s="17">
        <f t="shared" si="0"/>
        <v>57308.65864899999</v>
      </c>
      <c r="AC12" s="17">
        <f t="shared" si="0"/>
        <v>0</v>
      </c>
      <c r="AD12" s="17">
        <f t="shared" si="0"/>
        <v>373067.46099400008</v>
      </c>
      <c r="AE12" s="17">
        <f t="shared" si="0"/>
        <v>289727.317026</v>
      </c>
      <c r="AF12" s="17">
        <f t="shared" si="0"/>
        <v>171747.95236900004</v>
      </c>
      <c r="AG12" s="17">
        <f t="shared" si="0"/>
        <v>117979.364657</v>
      </c>
      <c r="AH12" s="17">
        <f t="shared" si="0"/>
        <v>83340.143967999989</v>
      </c>
      <c r="AI12" s="17">
        <f t="shared" si="0"/>
        <v>83340.143967999989</v>
      </c>
      <c r="AJ12" s="17">
        <f t="shared" si="0"/>
        <v>0</v>
      </c>
      <c r="AK12" s="227">
        <f>T12/C12</f>
        <v>1.0439289439961392</v>
      </c>
      <c r="AL12" s="227">
        <f t="shared" ref="AL12:AZ27" si="1">U12/D12</f>
        <v>1.0713327602804907</v>
      </c>
      <c r="AM12" s="227">
        <f t="shared" si="1"/>
        <v>0.94909848451333412</v>
      </c>
      <c r="AN12" s="227">
        <f t="shared" si="1"/>
        <v>1.0986417569059814</v>
      </c>
      <c r="AO12" s="227">
        <f t="shared" si="1"/>
        <v>1.1357818610744184</v>
      </c>
      <c r="AP12" s="227">
        <f t="shared" si="1"/>
        <v>1.1984679071183812</v>
      </c>
      <c r="AQ12" s="227"/>
      <c r="AR12" s="227">
        <f t="shared" si="1"/>
        <v>0.95686667082415</v>
      </c>
      <c r="AS12" s="227">
        <f t="shared" si="1"/>
        <v>0.95686667082415</v>
      </c>
      <c r="AT12" s="227"/>
      <c r="AU12" s="227">
        <f t="shared" si="1"/>
        <v>1.001550272474429</v>
      </c>
      <c r="AV12" s="227">
        <f t="shared" si="1"/>
        <v>1.0194845597170907</v>
      </c>
      <c r="AW12" s="227">
        <f t="shared" si="1"/>
        <v>1.0460317459589503</v>
      </c>
      <c r="AX12" s="227"/>
      <c r="AY12" s="227">
        <f t="shared" si="1"/>
        <v>0.94382949001132488</v>
      </c>
      <c r="AZ12" s="227">
        <f t="shared" si="1"/>
        <v>0.94382949001132488</v>
      </c>
      <c r="BA12" s="227"/>
    </row>
    <row r="13" spans="1:53">
      <c r="A13" s="238" t="s">
        <v>28</v>
      </c>
      <c r="B13" s="234" t="s">
        <v>536</v>
      </c>
      <c r="C13" s="226">
        <f t="shared" ref="C13:AJ13" si="2">SUBTOTAL(9,C14:C23)</f>
        <v>13372</v>
      </c>
      <c r="D13" s="226">
        <f t="shared" si="2"/>
        <v>0</v>
      </c>
      <c r="E13" s="226">
        <f t="shared" si="2"/>
        <v>13372</v>
      </c>
      <c r="F13" s="226">
        <f t="shared" si="2"/>
        <v>6562</v>
      </c>
      <c r="G13" s="226">
        <f t="shared" si="2"/>
        <v>0</v>
      </c>
      <c r="H13" s="226">
        <f t="shared" si="2"/>
        <v>0</v>
      </c>
      <c r="I13" s="226">
        <f t="shared" si="2"/>
        <v>0</v>
      </c>
      <c r="J13" s="226">
        <f t="shared" si="2"/>
        <v>6562</v>
      </c>
      <c r="K13" s="226">
        <f t="shared" si="2"/>
        <v>6562</v>
      </c>
      <c r="L13" s="226">
        <f t="shared" si="2"/>
        <v>0</v>
      </c>
      <c r="M13" s="226">
        <f t="shared" si="2"/>
        <v>6810</v>
      </c>
      <c r="N13" s="226">
        <f t="shared" si="2"/>
        <v>0</v>
      </c>
      <c r="O13" s="226">
        <f t="shared" si="2"/>
        <v>0</v>
      </c>
      <c r="P13" s="226">
        <f t="shared" si="2"/>
        <v>0</v>
      </c>
      <c r="Q13" s="226">
        <f t="shared" si="2"/>
        <v>6810</v>
      </c>
      <c r="R13" s="226">
        <f t="shared" si="2"/>
        <v>6810</v>
      </c>
      <c r="S13" s="226">
        <f t="shared" si="2"/>
        <v>0</v>
      </c>
      <c r="T13" s="17">
        <f t="shared" si="2"/>
        <v>11826.817874</v>
      </c>
      <c r="U13" s="17">
        <f t="shared" si="2"/>
        <v>0</v>
      </c>
      <c r="V13" s="17">
        <f t="shared" si="2"/>
        <v>11826.817874</v>
      </c>
      <c r="W13" s="17">
        <f t="shared" si="2"/>
        <v>6169</v>
      </c>
      <c r="X13" s="17">
        <f t="shared" si="2"/>
        <v>0</v>
      </c>
      <c r="Y13" s="17">
        <f t="shared" si="2"/>
        <v>0</v>
      </c>
      <c r="Z13" s="17">
        <f t="shared" si="2"/>
        <v>0</v>
      </c>
      <c r="AA13" s="17">
        <f t="shared" si="2"/>
        <v>6169</v>
      </c>
      <c r="AB13" s="17">
        <f t="shared" si="2"/>
        <v>6169</v>
      </c>
      <c r="AC13" s="17">
        <f t="shared" si="2"/>
        <v>0</v>
      </c>
      <c r="AD13" s="17">
        <f t="shared" si="2"/>
        <v>5657.8178740000003</v>
      </c>
      <c r="AE13" s="17">
        <f t="shared" si="2"/>
        <v>0</v>
      </c>
      <c r="AF13" s="17">
        <f t="shared" si="2"/>
        <v>0</v>
      </c>
      <c r="AG13" s="17">
        <f t="shared" si="2"/>
        <v>0</v>
      </c>
      <c r="AH13" s="17">
        <f t="shared" si="2"/>
        <v>5657.8178740000003</v>
      </c>
      <c r="AI13" s="17">
        <f t="shared" si="2"/>
        <v>5657.8178740000003</v>
      </c>
      <c r="AJ13" s="17">
        <f t="shared" si="2"/>
        <v>0</v>
      </c>
      <c r="AK13" s="227">
        <f>T13/C13</f>
        <v>0.88444644585701471</v>
      </c>
      <c r="AL13" s="227"/>
      <c r="AM13" s="227">
        <f t="shared" si="1"/>
        <v>0.88444644585701471</v>
      </c>
      <c r="AN13" s="227">
        <f t="shared" si="1"/>
        <v>0.94010972264553494</v>
      </c>
      <c r="AO13" s="227"/>
      <c r="AP13" s="227"/>
      <c r="AQ13" s="227"/>
      <c r="AR13" s="227">
        <f t="shared" si="1"/>
        <v>0.94010972264553494</v>
      </c>
      <c r="AS13" s="227">
        <f t="shared" si="1"/>
        <v>0.94010972264553494</v>
      </c>
      <c r="AT13" s="227"/>
      <c r="AU13" s="227">
        <f t="shared" si="1"/>
        <v>0.83081026049926587</v>
      </c>
      <c r="AV13" s="227"/>
      <c r="AW13" s="227"/>
      <c r="AX13" s="227"/>
      <c r="AY13" s="227">
        <f t="shared" si="1"/>
        <v>0.83081026049926587</v>
      </c>
      <c r="AZ13" s="227">
        <f t="shared" si="1"/>
        <v>0.83081026049926587</v>
      </c>
      <c r="BA13" s="227"/>
    </row>
    <row r="14" spans="1:53" ht="21.75" customHeight="1">
      <c r="A14" s="207">
        <v>1</v>
      </c>
      <c r="B14" s="265" t="s">
        <v>301</v>
      </c>
      <c r="C14" s="216">
        <f>D14+E14</f>
        <v>3890</v>
      </c>
      <c r="D14" s="217">
        <f>G14+N14</f>
        <v>0</v>
      </c>
      <c r="E14" s="217">
        <f>J14+Q14</f>
        <v>3890</v>
      </c>
      <c r="F14" s="217">
        <f>G14+J14</f>
        <v>1990</v>
      </c>
      <c r="G14" s="217">
        <f>H14+I14</f>
        <v>0</v>
      </c>
      <c r="H14" s="217"/>
      <c r="I14" s="217"/>
      <c r="J14" s="217">
        <f>K14+L14</f>
        <v>1990</v>
      </c>
      <c r="K14" s="217">
        <v>1990</v>
      </c>
      <c r="L14" s="217"/>
      <c r="M14" s="217">
        <f>N14+Q14</f>
        <v>1900</v>
      </c>
      <c r="N14" s="217">
        <f>O14+P14</f>
        <v>0</v>
      </c>
      <c r="O14" s="266"/>
      <c r="P14" s="217"/>
      <c r="Q14" s="217">
        <f>R14+S14</f>
        <v>1900</v>
      </c>
      <c r="R14" s="217">
        <v>1900</v>
      </c>
      <c r="S14" s="217"/>
      <c r="T14" s="219">
        <f>U14+V14</f>
        <v>3492</v>
      </c>
      <c r="U14" s="209">
        <f>X14+AE14</f>
        <v>0</v>
      </c>
      <c r="V14" s="209">
        <f>AA14+AH14</f>
        <v>3492</v>
      </c>
      <c r="W14" s="209">
        <f>X14+AA14</f>
        <v>1907</v>
      </c>
      <c r="X14" s="209">
        <f>Y14+Z14</f>
        <v>0</v>
      </c>
      <c r="Y14" s="267">
        <v>0</v>
      </c>
      <c r="Z14" s="209">
        <v>0</v>
      </c>
      <c r="AA14" s="209">
        <f>AB14+AC14</f>
        <v>1907</v>
      </c>
      <c r="AB14" s="209">
        <v>1907</v>
      </c>
      <c r="AC14" s="209">
        <v>0</v>
      </c>
      <c r="AD14" s="209">
        <f>AE14+AH14</f>
        <v>1585</v>
      </c>
      <c r="AE14" s="209">
        <f>AF14+AG14</f>
        <v>0</v>
      </c>
      <c r="AF14" s="209">
        <v>0</v>
      </c>
      <c r="AG14" s="209">
        <v>0</v>
      </c>
      <c r="AH14" s="209">
        <f>AI14+AJ14</f>
        <v>1585</v>
      </c>
      <c r="AI14" s="209">
        <v>1585</v>
      </c>
      <c r="AJ14" s="209">
        <v>0</v>
      </c>
      <c r="AK14" s="223">
        <f t="shared" ref="AK14:AK23" si="3">T14/C14</f>
        <v>0.89768637532133677</v>
      </c>
      <c r="AL14" s="223"/>
      <c r="AM14" s="223">
        <f t="shared" si="1"/>
        <v>0.89768637532133677</v>
      </c>
      <c r="AN14" s="223">
        <f t="shared" si="1"/>
        <v>0.95829145728643217</v>
      </c>
      <c r="AO14" s="223"/>
      <c r="AP14" s="223"/>
      <c r="AQ14" s="223"/>
      <c r="AR14" s="223">
        <f t="shared" si="1"/>
        <v>0.95829145728643217</v>
      </c>
      <c r="AS14" s="223">
        <f t="shared" si="1"/>
        <v>0.95829145728643217</v>
      </c>
      <c r="AT14" s="223"/>
      <c r="AU14" s="223">
        <f t="shared" si="1"/>
        <v>0.83421052631578951</v>
      </c>
      <c r="AV14" s="223"/>
      <c r="AW14" s="223"/>
      <c r="AX14" s="223"/>
      <c r="AY14" s="223">
        <f t="shared" si="1"/>
        <v>0.83421052631578951</v>
      </c>
      <c r="AZ14" s="223">
        <f t="shared" si="1"/>
        <v>0.83421052631578951</v>
      </c>
      <c r="BA14" s="223"/>
    </row>
    <row r="15" spans="1:53" ht="21.75" customHeight="1">
      <c r="A15" s="207">
        <v>2</v>
      </c>
      <c r="B15" s="265" t="s">
        <v>894</v>
      </c>
      <c r="C15" s="216">
        <f t="shared" ref="C15:C33" si="4">D15+E15</f>
        <v>1041</v>
      </c>
      <c r="D15" s="217">
        <f t="shared" ref="D15:D33" si="5">G15+N15</f>
        <v>0</v>
      </c>
      <c r="E15" s="217">
        <f t="shared" ref="E15:E33" si="6">J15+Q15</f>
        <v>1041</v>
      </c>
      <c r="F15" s="217">
        <f t="shared" ref="F15:F33" si="7">G15+J15</f>
        <v>841</v>
      </c>
      <c r="G15" s="217">
        <f t="shared" ref="G15:G33" si="8">H15+I15</f>
        <v>0</v>
      </c>
      <c r="H15" s="217"/>
      <c r="I15" s="217"/>
      <c r="J15" s="217">
        <f t="shared" ref="J15:J33" si="9">K15+L15</f>
        <v>841</v>
      </c>
      <c r="K15" s="217">
        <v>841</v>
      </c>
      <c r="L15" s="217"/>
      <c r="M15" s="217">
        <f t="shared" ref="M15:M33" si="10">N15+Q15</f>
        <v>200</v>
      </c>
      <c r="N15" s="217">
        <f t="shared" ref="N15:N33" si="11">O15+P15</f>
        <v>0</v>
      </c>
      <c r="O15" s="266"/>
      <c r="P15" s="217"/>
      <c r="Q15" s="217">
        <f t="shared" ref="Q15:Q33" si="12">R15+S15</f>
        <v>200</v>
      </c>
      <c r="R15" s="217">
        <v>200</v>
      </c>
      <c r="S15" s="217"/>
      <c r="T15" s="219">
        <f t="shared" ref="T15:T23" si="13">U15+V15</f>
        <v>662.89300000000003</v>
      </c>
      <c r="U15" s="209">
        <f t="shared" ref="U15:U23" si="14">X15+AE15</f>
        <v>0</v>
      </c>
      <c r="V15" s="209">
        <f t="shared" ref="V15:V23" si="15">AA15+AH15</f>
        <v>662.89300000000003</v>
      </c>
      <c r="W15" s="209">
        <f t="shared" ref="W15:W23" si="16">X15+AA15</f>
        <v>568</v>
      </c>
      <c r="X15" s="209">
        <f t="shared" ref="X15:X23" si="17">Y15+Z15</f>
        <v>0</v>
      </c>
      <c r="Y15" s="267">
        <v>0</v>
      </c>
      <c r="Z15" s="209">
        <v>0</v>
      </c>
      <c r="AA15" s="209">
        <f t="shared" ref="AA15:AA23" si="18">AB15+AC15</f>
        <v>568</v>
      </c>
      <c r="AB15" s="209">
        <v>568</v>
      </c>
      <c r="AC15" s="209">
        <v>0</v>
      </c>
      <c r="AD15" s="209">
        <f t="shared" ref="AD15:AD23" si="19">AE15+AH15</f>
        <v>94.893000000000001</v>
      </c>
      <c r="AE15" s="209">
        <f t="shared" ref="AE15:AE23" si="20">AF15+AG15</f>
        <v>0</v>
      </c>
      <c r="AF15" s="209">
        <v>0</v>
      </c>
      <c r="AG15" s="209">
        <v>0</v>
      </c>
      <c r="AH15" s="209">
        <f t="shared" ref="AH15:AH23" si="21">AI15+AJ15</f>
        <v>94.893000000000001</v>
      </c>
      <c r="AI15" s="209">
        <v>94.893000000000001</v>
      </c>
      <c r="AJ15" s="209">
        <v>0</v>
      </c>
      <c r="AK15" s="223">
        <f t="shared" si="3"/>
        <v>0.63678482228626321</v>
      </c>
      <c r="AL15" s="223"/>
      <c r="AM15" s="223">
        <f t="shared" si="1"/>
        <v>0.63678482228626321</v>
      </c>
      <c r="AN15" s="223">
        <f t="shared" si="1"/>
        <v>0.67538644470868014</v>
      </c>
      <c r="AO15" s="223"/>
      <c r="AP15" s="223"/>
      <c r="AQ15" s="223"/>
      <c r="AR15" s="223">
        <f t="shared" si="1"/>
        <v>0.67538644470868014</v>
      </c>
      <c r="AS15" s="223">
        <f t="shared" si="1"/>
        <v>0.67538644470868014</v>
      </c>
      <c r="AT15" s="223"/>
      <c r="AU15" s="223">
        <f t="shared" si="1"/>
        <v>0.47446500000000003</v>
      </c>
      <c r="AV15" s="223"/>
      <c r="AW15" s="223"/>
      <c r="AX15" s="223"/>
      <c r="AY15" s="223">
        <f t="shared" si="1"/>
        <v>0.47446500000000003</v>
      </c>
      <c r="AZ15" s="223">
        <f t="shared" si="1"/>
        <v>0.47446500000000003</v>
      </c>
      <c r="BA15" s="223"/>
    </row>
    <row r="16" spans="1:53" ht="24.75" customHeight="1">
      <c r="A16" s="207">
        <v>3</v>
      </c>
      <c r="B16" s="208" t="s">
        <v>615</v>
      </c>
      <c r="C16" s="216">
        <f t="shared" si="4"/>
        <v>3000</v>
      </c>
      <c r="D16" s="217">
        <f t="shared" si="5"/>
        <v>0</v>
      </c>
      <c r="E16" s="217">
        <f t="shared" si="6"/>
        <v>3000</v>
      </c>
      <c r="F16" s="217">
        <f t="shared" si="7"/>
        <v>0</v>
      </c>
      <c r="G16" s="217">
        <f t="shared" si="8"/>
        <v>0</v>
      </c>
      <c r="H16" s="217"/>
      <c r="I16" s="217"/>
      <c r="J16" s="217">
        <f t="shared" si="9"/>
        <v>0</v>
      </c>
      <c r="K16" s="217"/>
      <c r="L16" s="217"/>
      <c r="M16" s="217">
        <f t="shared" si="10"/>
        <v>3000</v>
      </c>
      <c r="N16" s="217">
        <f t="shared" si="11"/>
        <v>0</v>
      </c>
      <c r="O16" s="266"/>
      <c r="P16" s="217"/>
      <c r="Q16" s="217">
        <f t="shared" si="12"/>
        <v>3000</v>
      </c>
      <c r="R16" s="217">
        <v>3000</v>
      </c>
      <c r="S16" s="217"/>
      <c r="T16" s="219">
        <f t="shared" si="13"/>
        <v>2358.9488740000002</v>
      </c>
      <c r="U16" s="209">
        <f t="shared" si="14"/>
        <v>0</v>
      </c>
      <c r="V16" s="209">
        <f t="shared" si="15"/>
        <v>2358.9488740000002</v>
      </c>
      <c r="W16" s="209">
        <f t="shared" si="16"/>
        <v>0</v>
      </c>
      <c r="X16" s="209">
        <f t="shared" si="17"/>
        <v>0</v>
      </c>
      <c r="Y16" s="267"/>
      <c r="Z16" s="209"/>
      <c r="AA16" s="209">
        <f t="shared" si="18"/>
        <v>0</v>
      </c>
      <c r="AB16" s="209"/>
      <c r="AC16" s="209"/>
      <c r="AD16" s="209">
        <f t="shared" si="19"/>
        <v>2358.9488740000002</v>
      </c>
      <c r="AE16" s="209">
        <f t="shared" si="20"/>
        <v>0</v>
      </c>
      <c r="AF16" s="209"/>
      <c r="AG16" s="209"/>
      <c r="AH16" s="209">
        <f t="shared" si="21"/>
        <v>2358.9488740000002</v>
      </c>
      <c r="AI16" s="209">
        <v>2358.9488740000002</v>
      </c>
      <c r="AJ16" s="209"/>
      <c r="AK16" s="223">
        <f t="shared" si="3"/>
        <v>0.78631629133333336</v>
      </c>
      <c r="AL16" s="223"/>
      <c r="AM16" s="223">
        <f t="shared" si="1"/>
        <v>0.78631629133333336</v>
      </c>
      <c r="AN16" s="223"/>
      <c r="AO16" s="223"/>
      <c r="AP16" s="223"/>
      <c r="AQ16" s="223"/>
      <c r="AR16" s="223"/>
      <c r="AS16" s="223"/>
      <c r="AT16" s="223"/>
      <c r="AU16" s="223">
        <f t="shared" si="1"/>
        <v>0.78631629133333336</v>
      </c>
      <c r="AV16" s="223"/>
      <c r="AW16" s="223"/>
      <c r="AX16" s="223"/>
      <c r="AY16" s="223">
        <f t="shared" si="1"/>
        <v>0.78631629133333336</v>
      </c>
      <c r="AZ16" s="223">
        <f t="shared" si="1"/>
        <v>0.78631629133333336</v>
      </c>
      <c r="BA16" s="223"/>
    </row>
    <row r="17" spans="1:53" ht="25.5">
      <c r="A17" s="207">
        <v>4</v>
      </c>
      <c r="B17" s="208" t="s">
        <v>895</v>
      </c>
      <c r="C17" s="216">
        <f t="shared" si="4"/>
        <v>200</v>
      </c>
      <c r="D17" s="217">
        <f t="shared" si="5"/>
        <v>0</v>
      </c>
      <c r="E17" s="217">
        <f t="shared" si="6"/>
        <v>200</v>
      </c>
      <c r="F17" s="217">
        <f t="shared" si="7"/>
        <v>0</v>
      </c>
      <c r="G17" s="217">
        <f t="shared" si="8"/>
        <v>0</v>
      </c>
      <c r="H17" s="217"/>
      <c r="I17" s="217"/>
      <c r="J17" s="217">
        <f t="shared" si="9"/>
        <v>0</v>
      </c>
      <c r="K17" s="217"/>
      <c r="L17" s="217"/>
      <c r="M17" s="217">
        <f t="shared" si="10"/>
        <v>200</v>
      </c>
      <c r="N17" s="217">
        <f t="shared" si="11"/>
        <v>0</v>
      </c>
      <c r="O17" s="266"/>
      <c r="P17" s="217"/>
      <c r="Q17" s="217">
        <f t="shared" si="12"/>
        <v>200</v>
      </c>
      <c r="R17" s="217">
        <v>200</v>
      </c>
      <c r="S17" s="217"/>
      <c r="T17" s="219">
        <f t="shared" si="13"/>
        <v>199.934</v>
      </c>
      <c r="U17" s="209">
        <f t="shared" si="14"/>
        <v>0</v>
      </c>
      <c r="V17" s="209">
        <f t="shared" si="15"/>
        <v>199.934</v>
      </c>
      <c r="W17" s="209">
        <f t="shared" si="16"/>
        <v>0</v>
      </c>
      <c r="X17" s="209">
        <f t="shared" si="17"/>
        <v>0</v>
      </c>
      <c r="Y17" s="267">
        <v>0</v>
      </c>
      <c r="Z17" s="209">
        <v>0</v>
      </c>
      <c r="AA17" s="209">
        <f t="shared" si="18"/>
        <v>0</v>
      </c>
      <c r="AB17" s="209">
        <v>0</v>
      </c>
      <c r="AC17" s="209">
        <v>0</v>
      </c>
      <c r="AD17" s="209">
        <f t="shared" si="19"/>
        <v>199.934</v>
      </c>
      <c r="AE17" s="209">
        <f t="shared" si="20"/>
        <v>0</v>
      </c>
      <c r="AF17" s="209">
        <v>0</v>
      </c>
      <c r="AG17" s="209">
        <v>0</v>
      </c>
      <c r="AH17" s="209">
        <f t="shared" si="21"/>
        <v>199.934</v>
      </c>
      <c r="AI17" s="209">
        <v>199.934</v>
      </c>
      <c r="AJ17" s="209">
        <v>0</v>
      </c>
      <c r="AK17" s="223">
        <f t="shared" si="3"/>
        <v>0.99966999999999995</v>
      </c>
      <c r="AL17" s="223"/>
      <c r="AM17" s="223">
        <f t="shared" si="1"/>
        <v>0.99966999999999995</v>
      </c>
      <c r="AN17" s="223"/>
      <c r="AO17" s="223"/>
      <c r="AP17" s="223"/>
      <c r="AQ17" s="223"/>
      <c r="AR17" s="223"/>
      <c r="AS17" s="223"/>
      <c r="AT17" s="223"/>
      <c r="AU17" s="223">
        <f t="shared" si="1"/>
        <v>0.99966999999999995</v>
      </c>
      <c r="AV17" s="223"/>
      <c r="AW17" s="223"/>
      <c r="AX17" s="223"/>
      <c r="AY17" s="223">
        <f t="shared" si="1"/>
        <v>0.99966999999999995</v>
      </c>
      <c r="AZ17" s="223">
        <f t="shared" si="1"/>
        <v>0.99966999999999995</v>
      </c>
      <c r="BA17" s="223"/>
    </row>
    <row r="18" spans="1:53">
      <c r="A18" s="207">
        <v>5</v>
      </c>
      <c r="B18" s="265" t="s">
        <v>617</v>
      </c>
      <c r="C18" s="216">
        <f t="shared" si="4"/>
        <v>360</v>
      </c>
      <c r="D18" s="217">
        <f t="shared" si="5"/>
        <v>0</v>
      </c>
      <c r="E18" s="217">
        <f t="shared" si="6"/>
        <v>360</v>
      </c>
      <c r="F18" s="217">
        <f t="shared" si="7"/>
        <v>0</v>
      </c>
      <c r="G18" s="217">
        <f t="shared" si="8"/>
        <v>0</v>
      </c>
      <c r="H18" s="217"/>
      <c r="I18" s="217"/>
      <c r="J18" s="217">
        <f t="shared" si="9"/>
        <v>0</v>
      </c>
      <c r="K18" s="217"/>
      <c r="L18" s="217"/>
      <c r="M18" s="217">
        <f t="shared" si="10"/>
        <v>360</v>
      </c>
      <c r="N18" s="217">
        <f t="shared" si="11"/>
        <v>0</v>
      </c>
      <c r="O18" s="266"/>
      <c r="P18" s="217"/>
      <c r="Q18" s="217">
        <f t="shared" si="12"/>
        <v>360</v>
      </c>
      <c r="R18" s="217">
        <v>360</v>
      </c>
      <c r="S18" s="217"/>
      <c r="T18" s="219">
        <f t="shared" si="13"/>
        <v>355</v>
      </c>
      <c r="U18" s="209">
        <f t="shared" si="14"/>
        <v>0</v>
      </c>
      <c r="V18" s="209">
        <f t="shared" si="15"/>
        <v>355</v>
      </c>
      <c r="W18" s="209">
        <f t="shared" si="16"/>
        <v>0</v>
      </c>
      <c r="X18" s="209">
        <f t="shared" si="17"/>
        <v>0</v>
      </c>
      <c r="Y18" s="267">
        <v>0</v>
      </c>
      <c r="Z18" s="209">
        <v>0</v>
      </c>
      <c r="AA18" s="209">
        <f t="shared" si="18"/>
        <v>0</v>
      </c>
      <c r="AB18" s="209">
        <v>0</v>
      </c>
      <c r="AC18" s="209">
        <v>0</v>
      </c>
      <c r="AD18" s="209">
        <f t="shared" si="19"/>
        <v>355</v>
      </c>
      <c r="AE18" s="209">
        <f t="shared" si="20"/>
        <v>0</v>
      </c>
      <c r="AF18" s="209">
        <v>0</v>
      </c>
      <c r="AG18" s="209">
        <v>0</v>
      </c>
      <c r="AH18" s="209">
        <f t="shared" si="21"/>
        <v>355</v>
      </c>
      <c r="AI18" s="209">
        <v>355</v>
      </c>
      <c r="AJ18" s="209">
        <v>0</v>
      </c>
      <c r="AK18" s="223">
        <f t="shared" si="3"/>
        <v>0.98611111111111116</v>
      </c>
      <c r="AL18" s="223"/>
      <c r="AM18" s="223">
        <f t="shared" si="1"/>
        <v>0.98611111111111116</v>
      </c>
      <c r="AN18" s="223"/>
      <c r="AO18" s="223"/>
      <c r="AP18" s="223"/>
      <c r="AQ18" s="223"/>
      <c r="AR18" s="223"/>
      <c r="AS18" s="223"/>
      <c r="AT18" s="223"/>
      <c r="AU18" s="223">
        <f t="shared" si="1"/>
        <v>0.98611111111111116</v>
      </c>
      <c r="AV18" s="223"/>
      <c r="AW18" s="223"/>
      <c r="AX18" s="223"/>
      <c r="AY18" s="223">
        <f t="shared" si="1"/>
        <v>0.98611111111111116</v>
      </c>
      <c r="AZ18" s="223">
        <f t="shared" si="1"/>
        <v>0.98611111111111116</v>
      </c>
      <c r="BA18" s="223"/>
    </row>
    <row r="19" spans="1:53">
      <c r="A19" s="207">
        <v>6</v>
      </c>
      <c r="B19" s="265" t="s">
        <v>688</v>
      </c>
      <c r="C19" s="216">
        <f t="shared" si="4"/>
        <v>300</v>
      </c>
      <c r="D19" s="217">
        <f t="shared" si="5"/>
        <v>0</v>
      </c>
      <c r="E19" s="217">
        <f t="shared" si="6"/>
        <v>300</v>
      </c>
      <c r="F19" s="217">
        <f t="shared" si="7"/>
        <v>0</v>
      </c>
      <c r="G19" s="217">
        <f t="shared" si="8"/>
        <v>0</v>
      </c>
      <c r="H19" s="217"/>
      <c r="I19" s="217"/>
      <c r="J19" s="217">
        <f t="shared" si="9"/>
        <v>0</v>
      </c>
      <c r="K19" s="217"/>
      <c r="L19" s="217"/>
      <c r="M19" s="217">
        <f t="shared" si="10"/>
        <v>300</v>
      </c>
      <c r="N19" s="217">
        <f t="shared" si="11"/>
        <v>0</v>
      </c>
      <c r="O19" s="266"/>
      <c r="P19" s="217"/>
      <c r="Q19" s="217">
        <f t="shared" si="12"/>
        <v>300</v>
      </c>
      <c r="R19" s="217">
        <v>300</v>
      </c>
      <c r="S19" s="217"/>
      <c r="T19" s="219">
        <f t="shared" si="13"/>
        <v>273.39400000000001</v>
      </c>
      <c r="U19" s="209">
        <f t="shared" si="14"/>
        <v>0</v>
      </c>
      <c r="V19" s="209">
        <f t="shared" si="15"/>
        <v>273.39400000000001</v>
      </c>
      <c r="W19" s="209">
        <f t="shared" si="16"/>
        <v>0</v>
      </c>
      <c r="X19" s="209">
        <f t="shared" si="17"/>
        <v>0</v>
      </c>
      <c r="Y19" s="267">
        <v>0</v>
      </c>
      <c r="Z19" s="209">
        <v>0</v>
      </c>
      <c r="AA19" s="209">
        <f t="shared" si="18"/>
        <v>0</v>
      </c>
      <c r="AB19" s="209">
        <v>0</v>
      </c>
      <c r="AC19" s="209">
        <v>0</v>
      </c>
      <c r="AD19" s="209">
        <f t="shared" si="19"/>
        <v>273.39400000000001</v>
      </c>
      <c r="AE19" s="209">
        <f t="shared" si="20"/>
        <v>0</v>
      </c>
      <c r="AF19" s="209">
        <v>0</v>
      </c>
      <c r="AG19" s="209">
        <v>0</v>
      </c>
      <c r="AH19" s="209">
        <f t="shared" si="21"/>
        <v>273.39400000000001</v>
      </c>
      <c r="AI19" s="209">
        <v>273.39400000000001</v>
      </c>
      <c r="AJ19" s="209">
        <v>0</v>
      </c>
      <c r="AK19" s="223">
        <f t="shared" si="3"/>
        <v>0.91131333333333331</v>
      </c>
      <c r="AL19" s="223"/>
      <c r="AM19" s="223">
        <f t="shared" si="1"/>
        <v>0.91131333333333331</v>
      </c>
      <c r="AN19" s="223"/>
      <c r="AO19" s="223"/>
      <c r="AP19" s="223"/>
      <c r="AQ19" s="223"/>
      <c r="AR19" s="223"/>
      <c r="AS19" s="223"/>
      <c r="AT19" s="223"/>
      <c r="AU19" s="223">
        <f t="shared" si="1"/>
        <v>0.91131333333333331</v>
      </c>
      <c r="AV19" s="223"/>
      <c r="AW19" s="223"/>
      <c r="AX19" s="223"/>
      <c r="AY19" s="223">
        <f t="shared" si="1"/>
        <v>0.91131333333333331</v>
      </c>
      <c r="AZ19" s="223">
        <f t="shared" si="1"/>
        <v>0.91131333333333331</v>
      </c>
      <c r="BA19" s="223"/>
    </row>
    <row r="20" spans="1:53">
      <c r="A20" s="207">
        <v>7</v>
      </c>
      <c r="B20" s="265" t="s">
        <v>616</v>
      </c>
      <c r="C20" s="216">
        <f t="shared" si="4"/>
        <v>350</v>
      </c>
      <c r="D20" s="217">
        <f t="shared" si="5"/>
        <v>0</v>
      </c>
      <c r="E20" s="217">
        <f t="shared" si="6"/>
        <v>350</v>
      </c>
      <c r="F20" s="217">
        <f t="shared" si="7"/>
        <v>0</v>
      </c>
      <c r="G20" s="217">
        <f t="shared" si="8"/>
        <v>0</v>
      </c>
      <c r="H20" s="217"/>
      <c r="I20" s="217"/>
      <c r="J20" s="217">
        <f t="shared" si="9"/>
        <v>0</v>
      </c>
      <c r="K20" s="217"/>
      <c r="L20" s="217"/>
      <c r="M20" s="217">
        <f t="shared" si="10"/>
        <v>350</v>
      </c>
      <c r="N20" s="217">
        <f t="shared" si="11"/>
        <v>0</v>
      </c>
      <c r="O20" s="266"/>
      <c r="P20" s="217"/>
      <c r="Q20" s="217">
        <f t="shared" si="12"/>
        <v>350</v>
      </c>
      <c r="R20" s="217">
        <v>350</v>
      </c>
      <c r="S20" s="217"/>
      <c r="T20" s="219">
        <f t="shared" si="13"/>
        <v>290.64800000000002</v>
      </c>
      <c r="U20" s="209">
        <f t="shared" si="14"/>
        <v>0</v>
      </c>
      <c r="V20" s="209">
        <f t="shared" si="15"/>
        <v>290.64800000000002</v>
      </c>
      <c r="W20" s="209">
        <f t="shared" si="16"/>
        <v>0</v>
      </c>
      <c r="X20" s="209">
        <f t="shared" si="17"/>
        <v>0</v>
      </c>
      <c r="Y20" s="267">
        <v>0</v>
      </c>
      <c r="Z20" s="209">
        <v>0</v>
      </c>
      <c r="AA20" s="209">
        <f t="shared" si="18"/>
        <v>0</v>
      </c>
      <c r="AB20" s="209">
        <v>0</v>
      </c>
      <c r="AC20" s="209">
        <v>0</v>
      </c>
      <c r="AD20" s="209">
        <f t="shared" si="19"/>
        <v>290.64800000000002</v>
      </c>
      <c r="AE20" s="209">
        <f t="shared" si="20"/>
        <v>0</v>
      </c>
      <c r="AF20" s="209">
        <v>0</v>
      </c>
      <c r="AG20" s="209">
        <v>0</v>
      </c>
      <c r="AH20" s="209">
        <f t="shared" si="21"/>
        <v>290.64800000000002</v>
      </c>
      <c r="AI20" s="209">
        <v>290.64800000000002</v>
      </c>
      <c r="AJ20" s="209">
        <v>0</v>
      </c>
      <c r="AK20" s="223">
        <f t="shared" si="3"/>
        <v>0.83042285714285724</v>
      </c>
      <c r="AL20" s="223"/>
      <c r="AM20" s="223">
        <f t="shared" si="1"/>
        <v>0.83042285714285724</v>
      </c>
      <c r="AN20" s="223"/>
      <c r="AO20" s="223"/>
      <c r="AP20" s="223"/>
      <c r="AQ20" s="223"/>
      <c r="AR20" s="223"/>
      <c r="AS20" s="223"/>
      <c r="AT20" s="223"/>
      <c r="AU20" s="223">
        <f t="shared" si="1"/>
        <v>0.83042285714285724</v>
      </c>
      <c r="AV20" s="223"/>
      <c r="AW20" s="223"/>
      <c r="AX20" s="223"/>
      <c r="AY20" s="223">
        <f t="shared" si="1"/>
        <v>0.83042285714285724</v>
      </c>
      <c r="AZ20" s="223">
        <f t="shared" si="1"/>
        <v>0.83042285714285724</v>
      </c>
      <c r="BA20" s="223"/>
    </row>
    <row r="21" spans="1:53">
      <c r="A21" s="207">
        <v>8</v>
      </c>
      <c r="B21" s="265" t="s">
        <v>896</v>
      </c>
      <c r="C21" s="216">
        <f t="shared" si="4"/>
        <v>500</v>
      </c>
      <c r="D21" s="217">
        <f t="shared" si="5"/>
        <v>0</v>
      </c>
      <c r="E21" s="217">
        <f t="shared" si="6"/>
        <v>500</v>
      </c>
      <c r="F21" s="217">
        <f t="shared" si="7"/>
        <v>0</v>
      </c>
      <c r="G21" s="217">
        <f t="shared" si="8"/>
        <v>0</v>
      </c>
      <c r="H21" s="217"/>
      <c r="I21" s="217"/>
      <c r="J21" s="217">
        <f t="shared" si="9"/>
        <v>0</v>
      </c>
      <c r="K21" s="217"/>
      <c r="L21" s="217"/>
      <c r="M21" s="217">
        <f t="shared" si="10"/>
        <v>500</v>
      </c>
      <c r="N21" s="217">
        <f t="shared" si="11"/>
        <v>0</v>
      </c>
      <c r="O21" s="266"/>
      <c r="P21" s="217"/>
      <c r="Q21" s="217">
        <f t="shared" si="12"/>
        <v>500</v>
      </c>
      <c r="R21" s="217">
        <v>500</v>
      </c>
      <c r="S21" s="217"/>
      <c r="T21" s="219">
        <f t="shared" si="13"/>
        <v>500</v>
      </c>
      <c r="U21" s="209">
        <f t="shared" si="14"/>
        <v>0</v>
      </c>
      <c r="V21" s="209">
        <f t="shared" si="15"/>
        <v>500</v>
      </c>
      <c r="W21" s="209">
        <f t="shared" si="16"/>
        <v>0</v>
      </c>
      <c r="X21" s="209">
        <f t="shared" si="17"/>
        <v>0</v>
      </c>
      <c r="Y21" s="267">
        <v>0</v>
      </c>
      <c r="Z21" s="209">
        <v>0</v>
      </c>
      <c r="AA21" s="209">
        <f t="shared" si="18"/>
        <v>0</v>
      </c>
      <c r="AB21" s="209">
        <v>0</v>
      </c>
      <c r="AC21" s="209">
        <v>0</v>
      </c>
      <c r="AD21" s="209">
        <f t="shared" si="19"/>
        <v>500</v>
      </c>
      <c r="AE21" s="209">
        <f t="shared" si="20"/>
        <v>0</v>
      </c>
      <c r="AF21" s="209">
        <v>0</v>
      </c>
      <c r="AG21" s="209">
        <v>0</v>
      </c>
      <c r="AH21" s="209">
        <f t="shared" si="21"/>
        <v>500</v>
      </c>
      <c r="AI21" s="209">
        <v>500</v>
      </c>
      <c r="AJ21" s="209">
        <v>0</v>
      </c>
      <c r="AK21" s="223">
        <f t="shared" si="3"/>
        <v>1</v>
      </c>
      <c r="AL21" s="223"/>
      <c r="AM21" s="223">
        <f t="shared" si="1"/>
        <v>1</v>
      </c>
      <c r="AN21" s="223"/>
      <c r="AO21" s="223"/>
      <c r="AP21" s="223"/>
      <c r="AQ21" s="223"/>
      <c r="AR21" s="223"/>
      <c r="AS21" s="223"/>
      <c r="AT21" s="223"/>
      <c r="AU21" s="223">
        <f t="shared" si="1"/>
        <v>1</v>
      </c>
      <c r="AV21" s="223"/>
      <c r="AW21" s="223"/>
      <c r="AX21" s="223"/>
      <c r="AY21" s="223">
        <f t="shared" si="1"/>
        <v>1</v>
      </c>
      <c r="AZ21" s="223">
        <f t="shared" si="1"/>
        <v>1</v>
      </c>
      <c r="BA21" s="223"/>
    </row>
    <row r="22" spans="1:53">
      <c r="A22" s="207">
        <v>9</v>
      </c>
      <c r="B22" s="265" t="s">
        <v>361</v>
      </c>
      <c r="C22" s="216">
        <f t="shared" si="4"/>
        <v>3417</v>
      </c>
      <c r="D22" s="217">
        <f t="shared" si="5"/>
        <v>0</v>
      </c>
      <c r="E22" s="217">
        <f t="shared" si="6"/>
        <v>3417</v>
      </c>
      <c r="F22" s="217">
        <f t="shared" si="7"/>
        <v>3417</v>
      </c>
      <c r="G22" s="217">
        <f t="shared" si="8"/>
        <v>0</v>
      </c>
      <c r="H22" s="217"/>
      <c r="I22" s="217"/>
      <c r="J22" s="217">
        <f t="shared" si="9"/>
        <v>3417</v>
      </c>
      <c r="K22" s="217">
        <v>3417</v>
      </c>
      <c r="L22" s="217"/>
      <c r="M22" s="217">
        <f t="shared" si="10"/>
        <v>0</v>
      </c>
      <c r="N22" s="217">
        <f t="shared" si="11"/>
        <v>0</v>
      </c>
      <c r="O22" s="266"/>
      <c r="P22" s="217"/>
      <c r="Q22" s="217">
        <f t="shared" si="12"/>
        <v>0</v>
      </c>
      <c r="R22" s="217"/>
      <c r="S22" s="217"/>
      <c r="T22" s="219">
        <f t="shared" si="13"/>
        <v>3417</v>
      </c>
      <c r="U22" s="209">
        <f t="shared" si="14"/>
        <v>0</v>
      </c>
      <c r="V22" s="209">
        <f t="shared" si="15"/>
        <v>3417</v>
      </c>
      <c r="W22" s="209">
        <f t="shared" si="16"/>
        <v>3417</v>
      </c>
      <c r="X22" s="209">
        <f t="shared" si="17"/>
        <v>0</v>
      </c>
      <c r="Y22" s="267">
        <v>0</v>
      </c>
      <c r="Z22" s="209">
        <v>0</v>
      </c>
      <c r="AA22" s="209">
        <f t="shared" si="18"/>
        <v>3417</v>
      </c>
      <c r="AB22" s="209">
        <v>3417</v>
      </c>
      <c r="AC22" s="209">
        <v>0</v>
      </c>
      <c r="AD22" s="209">
        <f t="shared" si="19"/>
        <v>0</v>
      </c>
      <c r="AE22" s="209">
        <f t="shared" si="20"/>
        <v>0</v>
      </c>
      <c r="AF22" s="209">
        <v>0</v>
      </c>
      <c r="AG22" s="209">
        <v>0</v>
      </c>
      <c r="AH22" s="209">
        <f t="shared" si="21"/>
        <v>0</v>
      </c>
      <c r="AI22" s="209">
        <v>0</v>
      </c>
      <c r="AJ22" s="209">
        <v>0</v>
      </c>
      <c r="AK22" s="223">
        <f t="shared" si="3"/>
        <v>1</v>
      </c>
      <c r="AL22" s="223"/>
      <c r="AM22" s="223">
        <f t="shared" si="1"/>
        <v>1</v>
      </c>
      <c r="AN22" s="223">
        <f t="shared" si="1"/>
        <v>1</v>
      </c>
      <c r="AO22" s="223"/>
      <c r="AP22" s="223"/>
      <c r="AQ22" s="223"/>
      <c r="AR22" s="223">
        <f t="shared" si="1"/>
        <v>1</v>
      </c>
      <c r="AS22" s="223">
        <f t="shared" si="1"/>
        <v>1</v>
      </c>
      <c r="AT22" s="223"/>
      <c r="AU22" s="223"/>
      <c r="AV22" s="223"/>
      <c r="AW22" s="223"/>
      <c r="AX22" s="223"/>
      <c r="AY22" s="223"/>
      <c r="AZ22" s="223"/>
      <c r="BA22" s="223"/>
    </row>
    <row r="23" spans="1:53" ht="25.5" customHeight="1">
      <c r="A23" s="207">
        <v>10</v>
      </c>
      <c r="B23" s="265" t="s">
        <v>897</v>
      </c>
      <c r="C23" s="216">
        <f t="shared" si="4"/>
        <v>314</v>
      </c>
      <c r="D23" s="217">
        <f t="shared" si="5"/>
        <v>0</v>
      </c>
      <c r="E23" s="217">
        <f t="shared" si="6"/>
        <v>314</v>
      </c>
      <c r="F23" s="217">
        <f t="shared" si="7"/>
        <v>314</v>
      </c>
      <c r="G23" s="217">
        <f t="shared" si="8"/>
        <v>0</v>
      </c>
      <c r="H23" s="217"/>
      <c r="I23" s="217"/>
      <c r="J23" s="217">
        <f t="shared" si="9"/>
        <v>314</v>
      </c>
      <c r="K23" s="217">
        <v>314</v>
      </c>
      <c r="L23" s="217"/>
      <c r="M23" s="217">
        <f t="shared" si="10"/>
        <v>0</v>
      </c>
      <c r="N23" s="217">
        <f t="shared" si="11"/>
        <v>0</v>
      </c>
      <c r="O23" s="266"/>
      <c r="P23" s="217"/>
      <c r="Q23" s="217">
        <f t="shared" si="12"/>
        <v>0</v>
      </c>
      <c r="R23" s="217"/>
      <c r="S23" s="217"/>
      <c r="T23" s="219">
        <f t="shared" si="13"/>
        <v>277</v>
      </c>
      <c r="U23" s="209">
        <f t="shared" si="14"/>
        <v>0</v>
      </c>
      <c r="V23" s="209">
        <f t="shared" si="15"/>
        <v>277</v>
      </c>
      <c r="W23" s="209">
        <f t="shared" si="16"/>
        <v>277</v>
      </c>
      <c r="X23" s="209">
        <f t="shared" si="17"/>
        <v>0</v>
      </c>
      <c r="Y23" s="267">
        <v>0</v>
      </c>
      <c r="Z23" s="209">
        <v>0</v>
      </c>
      <c r="AA23" s="209">
        <f t="shared" si="18"/>
        <v>277</v>
      </c>
      <c r="AB23" s="209">
        <v>277</v>
      </c>
      <c r="AC23" s="209">
        <v>0</v>
      </c>
      <c r="AD23" s="209">
        <f t="shared" si="19"/>
        <v>0</v>
      </c>
      <c r="AE23" s="209">
        <f t="shared" si="20"/>
        <v>0</v>
      </c>
      <c r="AF23" s="209">
        <v>0</v>
      </c>
      <c r="AG23" s="209">
        <v>0</v>
      </c>
      <c r="AH23" s="209">
        <f t="shared" si="21"/>
        <v>0</v>
      </c>
      <c r="AI23" s="209">
        <v>0</v>
      </c>
      <c r="AJ23" s="209">
        <v>0</v>
      </c>
      <c r="AK23" s="223">
        <f t="shared" si="3"/>
        <v>0.88216560509554143</v>
      </c>
      <c r="AL23" s="223"/>
      <c r="AM23" s="223">
        <f t="shared" si="1"/>
        <v>0.88216560509554143</v>
      </c>
      <c r="AN23" s="223">
        <f t="shared" si="1"/>
        <v>0.88216560509554143</v>
      </c>
      <c r="AO23" s="223"/>
      <c r="AP23" s="223"/>
      <c r="AQ23" s="223"/>
      <c r="AR23" s="223">
        <f t="shared" si="1"/>
        <v>0.88216560509554143</v>
      </c>
      <c r="AS23" s="223">
        <f t="shared" si="1"/>
        <v>0.88216560509554143</v>
      </c>
      <c r="AT23" s="223"/>
      <c r="AU23" s="223"/>
      <c r="AV23" s="223"/>
      <c r="AW23" s="223"/>
      <c r="AX23" s="223"/>
      <c r="AY23" s="223"/>
      <c r="AZ23" s="223"/>
      <c r="BA23" s="223"/>
    </row>
    <row r="24" spans="1:53" hidden="1">
      <c r="A24" s="207">
        <v>1</v>
      </c>
      <c r="B24" s="208" t="s">
        <v>898</v>
      </c>
      <c r="C24" s="216">
        <f t="shared" si="4"/>
        <v>0</v>
      </c>
      <c r="D24" s="217">
        <f>G24+N24</f>
        <v>0</v>
      </c>
      <c r="E24" s="217">
        <f t="shared" si="6"/>
        <v>0</v>
      </c>
      <c r="F24" s="217">
        <f t="shared" si="7"/>
        <v>0</v>
      </c>
      <c r="G24" s="217">
        <f t="shared" si="8"/>
        <v>0</v>
      </c>
      <c r="H24" s="217"/>
      <c r="I24" s="217"/>
      <c r="J24" s="217">
        <f t="shared" si="9"/>
        <v>0</v>
      </c>
      <c r="K24" s="217"/>
      <c r="L24" s="217"/>
      <c r="M24" s="217">
        <f t="shared" si="10"/>
        <v>0</v>
      </c>
      <c r="N24" s="217">
        <f t="shared" si="11"/>
        <v>0</v>
      </c>
      <c r="O24" s="266"/>
      <c r="P24" s="217"/>
      <c r="Q24" s="217">
        <f t="shared" si="12"/>
        <v>0</v>
      </c>
      <c r="R24" s="217"/>
      <c r="S24" s="217"/>
      <c r="T24" s="300"/>
      <c r="U24" s="220"/>
      <c r="V24" s="220"/>
      <c r="W24" s="220"/>
      <c r="X24" s="220"/>
      <c r="Y24" s="220"/>
      <c r="Z24" s="220"/>
      <c r="AA24" s="220"/>
      <c r="AB24" s="220"/>
      <c r="AC24" s="220"/>
      <c r="AD24" s="220"/>
      <c r="AE24" s="220"/>
      <c r="AF24" s="222"/>
      <c r="AG24" s="220"/>
      <c r="AH24" s="220"/>
      <c r="AI24" s="220"/>
      <c r="AJ24" s="220"/>
      <c r="AK24" s="223"/>
      <c r="AL24" s="223" t="e">
        <f t="shared" si="1"/>
        <v>#DIV/0!</v>
      </c>
      <c r="AM24" s="223"/>
      <c r="AN24" s="223"/>
      <c r="AO24" s="223"/>
      <c r="AP24" s="223"/>
      <c r="AQ24" s="223"/>
      <c r="AR24" s="223"/>
      <c r="AS24" s="223"/>
      <c r="AT24" s="223"/>
      <c r="AU24" s="223"/>
      <c r="AV24" s="223"/>
      <c r="AW24" s="223"/>
      <c r="AX24" s="223"/>
      <c r="AY24" s="223"/>
      <c r="AZ24" s="223"/>
      <c r="BA24" s="223"/>
    </row>
    <row r="25" spans="1:53" hidden="1">
      <c r="A25" s="207">
        <v>2</v>
      </c>
      <c r="B25" s="208" t="s">
        <v>657</v>
      </c>
      <c r="C25" s="216">
        <f t="shared" si="4"/>
        <v>0</v>
      </c>
      <c r="D25" s="217">
        <f t="shared" si="5"/>
        <v>0</v>
      </c>
      <c r="E25" s="217">
        <f t="shared" si="6"/>
        <v>0</v>
      </c>
      <c r="F25" s="217">
        <f t="shared" si="7"/>
        <v>0</v>
      </c>
      <c r="G25" s="217">
        <f t="shared" si="8"/>
        <v>0</v>
      </c>
      <c r="H25" s="217"/>
      <c r="I25" s="217"/>
      <c r="J25" s="217">
        <f t="shared" si="9"/>
        <v>0</v>
      </c>
      <c r="K25" s="217"/>
      <c r="L25" s="217"/>
      <c r="M25" s="217">
        <f t="shared" si="10"/>
        <v>0</v>
      </c>
      <c r="N25" s="217">
        <f t="shared" si="11"/>
        <v>0</v>
      </c>
      <c r="O25" s="266"/>
      <c r="P25" s="217"/>
      <c r="Q25" s="217">
        <f t="shared" si="12"/>
        <v>0</v>
      </c>
      <c r="R25" s="217"/>
      <c r="S25" s="217"/>
      <c r="T25" s="300"/>
      <c r="U25" s="220"/>
      <c r="V25" s="220"/>
      <c r="W25" s="220"/>
      <c r="X25" s="220"/>
      <c r="Y25" s="220"/>
      <c r="Z25" s="220"/>
      <c r="AA25" s="220"/>
      <c r="AB25" s="220"/>
      <c r="AC25" s="220"/>
      <c r="AD25" s="220"/>
      <c r="AE25" s="220"/>
      <c r="AF25" s="222"/>
      <c r="AG25" s="220"/>
      <c r="AH25" s="220"/>
      <c r="AI25" s="220"/>
      <c r="AJ25" s="220"/>
      <c r="AK25" s="268"/>
      <c r="AL25" s="223" t="e">
        <f t="shared" si="1"/>
        <v>#DIV/0!</v>
      </c>
      <c r="AM25" s="268"/>
      <c r="AN25" s="268"/>
      <c r="AO25" s="268"/>
      <c r="AP25" s="268"/>
      <c r="AQ25" s="268"/>
      <c r="AR25" s="268"/>
      <c r="AS25" s="268"/>
      <c r="AT25" s="268"/>
      <c r="AU25" s="268"/>
      <c r="AV25" s="268"/>
      <c r="AW25" s="268"/>
      <c r="AX25" s="268"/>
      <c r="AY25" s="268"/>
      <c r="AZ25" s="268"/>
      <c r="BA25" s="268"/>
    </row>
    <row r="26" spans="1:53" hidden="1">
      <c r="A26" s="207">
        <v>3</v>
      </c>
      <c r="B26" s="208" t="s">
        <v>658</v>
      </c>
      <c r="C26" s="216">
        <f t="shared" si="4"/>
        <v>0</v>
      </c>
      <c r="D26" s="217">
        <f t="shared" si="5"/>
        <v>0</v>
      </c>
      <c r="E26" s="217">
        <f t="shared" si="6"/>
        <v>0</v>
      </c>
      <c r="F26" s="217">
        <f t="shared" si="7"/>
        <v>0</v>
      </c>
      <c r="G26" s="217">
        <f t="shared" si="8"/>
        <v>0</v>
      </c>
      <c r="H26" s="217"/>
      <c r="I26" s="217"/>
      <c r="J26" s="217">
        <f t="shared" si="9"/>
        <v>0</v>
      </c>
      <c r="K26" s="217"/>
      <c r="L26" s="217"/>
      <c r="M26" s="217">
        <f t="shared" si="10"/>
        <v>0</v>
      </c>
      <c r="N26" s="217">
        <f t="shared" si="11"/>
        <v>0</v>
      </c>
      <c r="O26" s="266"/>
      <c r="P26" s="217"/>
      <c r="Q26" s="217">
        <f t="shared" si="12"/>
        <v>0</v>
      </c>
      <c r="R26" s="217"/>
      <c r="S26" s="217"/>
      <c r="T26" s="300"/>
      <c r="U26" s="220"/>
      <c r="V26" s="220"/>
      <c r="W26" s="220"/>
      <c r="X26" s="220"/>
      <c r="Y26" s="220"/>
      <c r="Z26" s="220"/>
      <c r="AA26" s="220"/>
      <c r="AB26" s="220"/>
      <c r="AC26" s="220"/>
      <c r="AD26" s="220"/>
      <c r="AE26" s="220"/>
      <c r="AF26" s="222"/>
      <c r="AG26" s="220"/>
      <c r="AH26" s="220"/>
      <c r="AI26" s="220"/>
      <c r="AJ26" s="220"/>
      <c r="AK26" s="268"/>
      <c r="AL26" s="223" t="e">
        <f t="shared" si="1"/>
        <v>#DIV/0!</v>
      </c>
      <c r="AM26" s="268"/>
      <c r="AN26" s="268"/>
      <c r="AO26" s="268"/>
      <c r="AP26" s="268"/>
      <c r="AQ26" s="268"/>
      <c r="AR26" s="268"/>
      <c r="AS26" s="268"/>
      <c r="AT26" s="268"/>
      <c r="AU26" s="268"/>
      <c r="AV26" s="268"/>
      <c r="AW26" s="268"/>
      <c r="AX26" s="268"/>
      <c r="AY26" s="268"/>
      <c r="AZ26" s="268"/>
      <c r="BA26" s="268"/>
    </row>
    <row r="27" spans="1:53" hidden="1">
      <c r="A27" s="207">
        <v>4</v>
      </c>
      <c r="B27" s="208" t="s">
        <v>659</v>
      </c>
      <c r="C27" s="216">
        <f t="shared" si="4"/>
        <v>0</v>
      </c>
      <c r="D27" s="217">
        <f t="shared" si="5"/>
        <v>0</v>
      </c>
      <c r="E27" s="217">
        <f t="shared" si="6"/>
        <v>0</v>
      </c>
      <c r="F27" s="217">
        <f t="shared" si="7"/>
        <v>0</v>
      </c>
      <c r="G27" s="217">
        <f t="shared" si="8"/>
        <v>0</v>
      </c>
      <c r="H27" s="217"/>
      <c r="I27" s="217"/>
      <c r="J27" s="217">
        <f t="shared" si="9"/>
        <v>0</v>
      </c>
      <c r="K27" s="217"/>
      <c r="L27" s="217"/>
      <c r="M27" s="217">
        <f t="shared" si="10"/>
        <v>0</v>
      </c>
      <c r="N27" s="217">
        <f t="shared" si="11"/>
        <v>0</v>
      </c>
      <c r="O27" s="266"/>
      <c r="P27" s="217"/>
      <c r="Q27" s="217">
        <f t="shared" si="12"/>
        <v>0</v>
      </c>
      <c r="R27" s="217"/>
      <c r="S27" s="217"/>
      <c r="T27" s="300"/>
      <c r="U27" s="220"/>
      <c r="V27" s="220"/>
      <c r="W27" s="220"/>
      <c r="X27" s="220"/>
      <c r="Y27" s="220"/>
      <c r="Z27" s="220"/>
      <c r="AA27" s="220"/>
      <c r="AB27" s="220"/>
      <c r="AC27" s="220"/>
      <c r="AD27" s="220"/>
      <c r="AE27" s="220"/>
      <c r="AF27" s="222"/>
      <c r="AG27" s="220"/>
      <c r="AH27" s="220"/>
      <c r="AI27" s="220"/>
      <c r="AJ27" s="220"/>
      <c r="AK27" s="268"/>
      <c r="AL27" s="223" t="e">
        <f t="shared" si="1"/>
        <v>#DIV/0!</v>
      </c>
      <c r="AM27" s="268"/>
      <c r="AN27" s="268"/>
      <c r="AO27" s="268"/>
      <c r="AP27" s="268"/>
      <c r="AQ27" s="268"/>
      <c r="AR27" s="268"/>
      <c r="AS27" s="268"/>
      <c r="AT27" s="268"/>
      <c r="AU27" s="268"/>
      <c r="AV27" s="268"/>
      <c r="AW27" s="268"/>
      <c r="AX27" s="268"/>
      <c r="AY27" s="268"/>
      <c r="AZ27" s="268"/>
      <c r="BA27" s="268"/>
    </row>
    <row r="28" spans="1:53" hidden="1">
      <c r="A28" s="207">
        <v>5</v>
      </c>
      <c r="B28" s="208" t="s">
        <v>664</v>
      </c>
      <c r="C28" s="216">
        <f t="shared" si="4"/>
        <v>0</v>
      </c>
      <c r="D28" s="217">
        <f t="shared" si="5"/>
        <v>0</v>
      </c>
      <c r="E28" s="217">
        <f t="shared" si="6"/>
        <v>0</v>
      </c>
      <c r="F28" s="217">
        <f t="shared" si="7"/>
        <v>0</v>
      </c>
      <c r="G28" s="217">
        <f t="shared" si="8"/>
        <v>0</v>
      </c>
      <c r="H28" s="217"/>
      <c r="I28" s="218"/>
      <c r="J28" s="217">
        <f t="shared" si="9"/>
        <v>0</v>
      </c>
      <c r="K28" s="218"/>
      <c r="L28" s="218"/>
      <c r="M28" s="217">
        <f t="shared" si="10"/>
        <v>0</v>
      </c>
      <c r="N28" s="217">
        <f t="shared" si="11"/>
        <v>0</v>
      </c>
      <c r="O28" s="266"/>
      <c r="P28" s="218"/>
      <c r="Q28" s="217">
        <f t="shared" si="12"/>
        <v>0</v>
      </c>
      <c r="R28" s="218"/>
      <c r="S28" s="218"/>
      <c r="T28" s="300"/>
      <c r="U28" s="220"/>
      <c r="V28" s="221"/>
      <c r="W28" s="220"/>
      <c r="X28" s="220"/>
      <c r="Y28" s="220"/>
      <c r="Z28" s="221"/>
      <c r="AA28" s="221"/>
      <c r="AB28" s="221"/>
      <c r="AC28" s="221"/>
      <c r="AD28" s="220"/>
      <c r="AE28" s="220"/>
      <c r="AF28" s="222"/>
      <c r="AG28" s="221"/>
      <c r="AH28" s="221"/>
      <c r="AI28" s="221"/>
      <c r="AJ28" s="221"/>
      <c r="AK28" s="268"/>
      <c r="AL28" s="223" t="e">
        <f t="shared" ref="AL28:AP43" si="22">U28/D28</f>
        <v>#DIV/0!</v>
      </c>
      <c r="AM28" s="268"/>
      <c r="AN28" s="268"/>
      <c r="AO28" s="268"/>
      <c r="AP28" s="268"/>
      <c r="AQ28" s="268"/>
      <c r="AR28" s="268"/>
      <c r="AS28" s="268"/>
      <c r="AT28" s="268"/>
      <c r="AU28" s="268"/>
      <c r="AV28" s="268"/>
      <c r="AW28" s="268"/>
      <c r="AX28" s="268"/>
      <c r="AY28" s="268"/>
      <c r="AZ28" s="268"/>
      <c r="BA28" s="268"/>
    </row>
    <row r="29" spans="1:53" hidden="1">
      <c r="A29" s="207">
        <v>6</v>
      </c>
      <c r="B29" s="208" t="s">
        <v>660</v>
      </c>
      <c r="C29" s="216">
        <f t="shared" si="4"/>
        <v>0</v>
      </c>
      <c r="D29" s="217">
        <f t="shared" si="5"/>
        <v>0</v>
      </c>
      <c r="E29" s="217">
        <f t="shared" si="6"/>
        <v>0</v>
      </c>
      <c r="F29" s="217">
        <f t="shared" si="7"/>
        <v>0</v>
      </c>
      <c r="G29" s="217">
        <f t="shared" si="8"/>
        <v>0</v>
      </c>
      <c r="H29" s="217"/>
      <c r="I29" s="218"/>
      <c r="J29" s="217">
        <f t="shared" si="9"/>
        <v>0</v>
      </c>
      <c r="K29" s="218"/>
      <c r="L29" s="218"/>
      <c r="M29" s="217">
        <f t="shared" si="10"/>
        <v>0</v>
      </c>
      <c r="N29" s="217">
        <f t="shared" si="11"/>
        <v>0</v>
      </c>
      <c r="O29" s="266"/>
      <c r="P29" s="218"/>
      <c r="Q29" s="217">
        <f t="shared" si="12"/>
        <v>0</v>
      </c>
      <c r="R29" s="218"/>
      <c r="S29" s="218"/>
      <c r="T29" s="300"/>
      <c r="U29" s="220"/>
      <c r="V29" s="221"/>
      <c r="W29" s="220"/>
      <c r="X29" s="220"/>
      <c r="Y29" s="220"/>
      <c r="Z29" s="221"/>
      <c r="AA29" s="221"/>
      <c r="AB29" s="221"/>
      <c r="AC29" s="221"/>
      <c r="AD29" s="220"/>
      <c r="AE29" s="220"/>
      <c r="AF29" s="222"/>
      <c r="AG29" s="221"/>
      <c r="AH29" s="221"/>
      <c r="AI29" s="221"/>
      <c r="AJ29" s="221"/>
      <c r="AK29" s="268"/>
      <c r="AL29" s="223" t="e">
        <f t="shared" si="22"/>
        <v>#DIV/0!</v>
      </c>
      <c r="AM29" s="268"/>
      <c r="AN29" s="268"/>
      <c r="AO29" s="268"/>
      <c r="AP29" s="268"/>
      <c r="AQ29" s="268"/>
      <c r="AR29" s="268"/>
      <c r="AS29" s="268"/>
      <c r="AT29" s="268"/>
      <c r="AU29" s="268"/>
      <c r="AV29" s="268"/>
      <c r="AW29" s="268"/>
      <c r="AX29" s="268"/>
      <c r="AY29" s="268"/>
      <c r="AZ29" s="268"/>
      <c r="BA29" s="268"/>
    </row>
    <row r="30" spans="1:53" hidden="1">
      <c r="A30" s="207">
        <v>7</v>
      </c>
      <c r="B30" s="208" t="s">
        <v>661</v>
      </c>
      <c r="C30" s="216">
        <f t="shared" si="4"/>
        <v>0</v>
      </c>
      <c r="D30" s="217">
        <f t="shared" si="5"/>
        <v>0</v>
      </c>
      <c r="E30" s="217">
        <f t="shared" si="6"/>
        <v>0</v>
      </c>
      <c r="F30" s="217">
        <f t="shared" si="7"/>
        <v>0</v>
      </c>
      <c r="G30" s="217">
        <f t="shared" si="8"/>
        <v>0</v>
      </c>
      <c r="H30" s="217"/>
      <c r="I30" s="218"/>
      <c r="J30" s="217">
        <f t="shared" si="9"/>
        <v>0</v>
      </c>
      <c r="K30" s="218"/>
      <c r="L30" s="218"/>
      <c r="M30" s="217">
        <f t="shared" si="10"/>
        <v>0</v>
      </c>
      <c r="N30" s="217">
        <f t="shared" si="11"/>
        <v>0</v>
      </c>
      <c r="O30" s="266"/>
      <c r="P30" s="218"/>
      <c r="Q30" s="217">
        <f t="shared" si="12"/>
        <v>0</v>
      </c>
      <c r="R30" s="218"/>
      <c r="S30" s="218"/>
      <c r="T30" s="300"/>
      <c r="U30" s="220"/>
      <c r="V30" s="221"/>
      <c r="W30" s="220"/>
      <c r="X30" s="220"/>
      <c r="Y30" s="220"/>
      <c r="Z30" s="221"/>
      <c r="AA30" s="221"/>
      <c r="AB30" s="221"/>
      <c r="AC30" s="221"/>
      <c r="AD30" s="220"/>
      <c r="AE30" s="220"/>
      <c r="AF30" s="222"/>
      <c r="AG30" s="221"/>
      <c r="AH30" s="221"/>
      <c r="AI30" s="221"/>
      <c r="AJ30" s="221"/>
      <c r="AK30" s="268"/>
      <c r="AL30" s="223" t="e">
        <f t="shared" si="22"/>
        <v>#DIV/0!</v>
      </c>
      <c r="AM30" s="268"/>
      <c r="AN30" s="268"/>
      <c r="AO30" s="268"/>
      <c r="AP30" s="268"/>
      <c r="AQ30" s="268"/>
      <c r="AR30" s="268"/>
      <c r="AS30" s="268"/>
      <c r="AT30" s="268"/>
      <c r="AU30" s="268"/>
      <c r="AV30" s="268"/>
      <c r="AW30" s="268"/>
      <c r="AX30" s="268"/>
      <c r="AY30" s="268"/>
      <c r="AZ30" s="268"/>
      <c r="BA30" s="268"/>
    </row>
    <row r="31" spans="1:53" hidden="1">
      <c r="A31" s="207">
        <v>8</v>
      </c>
      <c r="B31" s="208" t="s">
        <v>613</v>
      </c>
      <c r="C31" s="216">
        <f t="shared" si="4"/>
        <v>0</v>
      </c>
      <c r="D31" s="217">
        <f t="shared" si="5"/>
        <v>0</v>
      </c>
      <c r="E31" s="217">
        <f t="shared" si="6"/>
        <v>0</v>
      </c>
      <c r="F31" s="217">
        <f t="shared" si="7"/>
        <v>0</v>
      </c>
      <c r="G31" s="217">
        <f t="shared" si="8"/>
        <v>0</v>
      </c>
      <c r="H31" s="217"/>
      <c r="I31" s="218"/>
      <c r="J31" s="217">
        <f t="shared" si="9"/>
        <v>0</v>
      </c>
      <c r="K31" s="218"/>
      <c r="L31" s="218"/>
      <c r="M31" s="217">
        <f t="shared" si="10"/>
        <v>0</v>
      </c>
      <c r="N31" s="217">
        <f t="shared" si="11"/>
        <v>0</v>
      </c>
      <c r="O31" s="266"/>
      <c r="P31" s="218"/>
      <c r="Q31" s="217">
        <f t="shared" si="12"/>
        <v>0</v>
      </c>
      <c r="R31" s="218"/>
      <c r="S31" s="218"/>
      <c r="T31" s="300"/>
      <c r="U31" s="220"/>
      <c r="V31" s="221"/>
      <c r="W31" s="220"/>
      <c r="X31" s="220"/>
      <c r="Y31" s="220"/>
      <c r="Z31" s="221"/>
      <c r="AA31" s="221"/>
      <c r="AB31" s="221"/>
      <c r="AC31" s="221"/>
      <c r="AD31" s="220"/>
      <c r="AE31" s="220"/>
      <c r="AF31" s="222"/>
      <c r="AG31" s="221"/>
      <c r="AH31" s="221"/>
      <c r="AI31" s="221"/>
      <c r="AJ31" s="221"/>
      <c r="AK31" s="269" t="e">
        <f>T31/C31</f>
        <v>#DIV/0!</v>
      </c>
      <c r="AL31" s="223" t="e">
        <f t="shared" si="22"/>
        <v>#DIV/0!</v>
      </c>
      <c r="AM31" s="269" t="e">
        <f t="shared" si="22"/>
        <v>#DIV/0!</v>
      </c>
      <c r="AN31" s="269" t="e">
        <f t="shared" si="22"/>
        <v>#DIV/0!</v>
      </c>
      <c r="AO31" s="269" t="e">
        <f t="shared" si="22"/>
        <v>#DIV/0!</v>
      </c>
      <c r="AP31" s="269" t="e">
        <f t="shared" si="22"/>
        <v>#DIV/0!</v>
      </c>
      <c r="AQ31" s="269"/>
      <c r="AR31" s="269" t="e">
        <f t="shared" ref="AR31:AS44" si="23">AA31/J31</f>
        <v>#DIV/0!</v>
      </c>
      <c r="AS31" s="269"/>
      <c r="AT31" s="269"/>
      <c r="AU31" s="269" t="e">
        <f t="shared" ref="AU31:AW44" si="24">AD31/M31</f>
        <v>#DIV/0!</v>
      </c>
      <c r="AV31" s="269" t="e">
        <f t="shared" si="24"/>
        <v>#DIV/0!</v>
      </c>
      <c r="AW31" s="269"/>
      <c r="AX31" s="269"/>
      <c r="AY31" s="269" t="e">
        <f t="shared" ref="AY31:AZ44" si="25">AH31/Q31</f>
        <v>#DIV/0!</v>
      </c>
      <c r="AZ31" s="269"/>
      <c r="BA31" s="269"/>
    </row>
    <row r="32" spans="1:53" hidden="1">
      <c r="A32" s="207">
        <v>9</v>
      </c>
      <c r="B32" s="208" t="s">
        <v>663</v>
      </c>
      <c r="C32" s="216">
        <f t="shared" si="4"/>
        <v>0</v>
      </c>
      <c r="D32" s="217">
        <f t="shared" si="5"/>
        <v>0</v>
      </c>
      <c r="E32" s="217">
        <f t="shared" si="6"/>
        <v>0</v>
      </c>
      <c r="F32" s="217">
        <f t="shared" si="7"/>
        <v>0</v>
      </c>
      <c r="G32" s="217">
        <f t="shared" si="8"/>
        <v>0</v>
      </c>
      <c r="H32" s="217"/>
      <c r="I32" s="218"/>
      <c r="J32" s="217">
        <f t="shared" si="9"/>
        <v>0</v>
      </c>
      <c r="K32" s="218"/>
      <c r="L32" s="218"/>
      <c r="M32" s="217">
        <f t="shared" si="10"/>
        <v>0</v>
      </c>
      <c r="N32" s="217">
        <f t="shared" si="11"/>
        <v>0</v>
      </c>
      <c r="O32" s="266"/>
      <c r="P32" s="218"/>
      <c r="Q32" s="217">
        <f t="shared" si="12"/>
        <v>0</v>
      </c>
      <c r="R32" s="218"/>
      <c r="S32" s="218"/>
      <c r="T32" s="300"/>
      <c r="U32" s="220"/>
      <c r="V32" s="221"/>
      <c r="W32" s="220"/>
      <c r="X32" s="220"/>
      <c r="Y32" s="220"/>
      <c r="Z32" s="221"/>
      <c r="AA32" s="221"/>
      <c r="AB32" s="221"/>
      <c r="AC32" s="221"/>
      <c r="AD32" s="220"/>
      <c r="AE32" s="220"/>
      <c r="AF32" s="222"/>
      <c r="AG32" s="221"/>
      <c r="AH32" s="221"/>
      <c r="AI32" s="221"/>
      <c r="AJ32" s="221"/>
      <c r="AK32" s="223" t="e">
        <f>T32/C32</f>
        <v>#DIV/0!</v>
      </c>
      <c r="AL32" s="223" t="e">
        <f t="shared" si="22"/>
        <v>#DIV/0!</v>
      </c>
      <c r="AM32" s="223" t="e">
        <f t="shared" si="22"/>
        <v>#DIV/0!</v>
      </c>
      <c r="AN32" s="223" t="e">
        <f t="shared" si="22"/>
        <v>#DIV/0!</v>
      </c>
      <c r="AO32" s="223" t="e">
        <f t="shared" si="22"/>
        <v>#DIV/0!</v>
      </c>
      <c r="AP32" s="223" t="e">
        <f t="shared" si="22"/>
        <v>#DIV/0!</v>
      </c>
      <c r="AQ32" s="223"/>
      <c r="AR32" s="223" t="e">
        <f t="shared" si="23"/>
        <v>#DIV/0!</v>
      </c>
      <c r="AS32" s="223"/>
      <c r="AT32" s="223"/>
      <c r="AU32" s="223" t="e">
        <f t="shared" si="24"/>
        <v>#DIV/0!</v>
      </c>
      <c r="AV32" s="223" t="e">
        <f t="shared" si="24"/>
        <v>#DIV/0!</v>
      </c>
      <c r="AW32" s="223"/>
      <c r="AX32" s="223"/>
      <c r="AY32" s="223" t="e">
        <f t="shared" si="25"/>
        <v>#DIV/0!</v>
      </c>
      <c r="AZ32" s="223"/>
      <c r="BA32" s="223"/>
    </row>
    <row r="33" spans="1:53" hidden="1">
      <c r="A33" s="207">
        <v>10</v>
      </c>
      <c r="B33" s="208" t="s">
        <v>662</v>
      </c>
      <c r="C33" s="216">
        <f t="shared" si="4"/>
        <v>0</v>
      </c>
      <c r="D33" s="217">
        <f t="shared" si="5"/>
        <v>0</v>
      </c>
      <c r="E33" s="217">
        <f t="shared" si="6"/>
        <v>0</v>
      </c>
      <c r="F33" s="217">
        <f t="shared" si="7"/>
        <v>0</v>
      </c>
      <c r="G33" s="217">
        <f t="shared" si="8"/>
        <v>0</v>
      </c>
      <c r="H33" s="217"/>
      <c r="I33" s="218"/>
      <c r="J33" s="217">
        <f t="shared" si="9"/>
        <v>0</v>
      </c>
      <c r="K33" s="218"/>
      <c r="L33" s="218"/>
      <c r="M33" s="217">
        <f t="shared" si="10"/>
        <v>0</v>
      </c>
      <c r="N33" s="217">
        <f t="shared" si="11"/>
        <v>0</v>
      </c>
      <c r="O33" s="266"/>
      <c r="P33" s="218"/>
      <c r="Q33" s="217">
        <f t="shared" si="12"/>
        <v>0</v>
      </c>
      <c r="R33" s="218"/>
      <c r="S33" s="218"/>
      <c r="T33" s="300"/>
      <c r="U33" s="220"/>
      <c r="V33" s="221"/>
      <c r="W33" s="220"/>
      <c r="X33" s="220"/>
      <c r="Y33" s="220"/>
      <c r="Z33" s="221"/>
      <c r="AA33" s="221"/>
      <c r="AB33" s="221"/>
      <c r="AC33" s="221"/>
      <c r="AD33" s="220"/>
      <c r="AE33" s="220"/>
      <c r="AF33" s="222"/>
      <c r="AG33" s="221"/>
      <c r="AH33" s="221"/>
      <c r="AI33" s="221"/>
      <c r="AJ33" s="221"/>
      <c r="AK33" s="223" t="e">
        <f t="shared" ref="AK33:AP44" si="26">T33/C33</f>
        <v>#DIV/0!</v>
      </c>
      <c r="AL33" s="223" t="e">
        <f t="shared" si="22"/>
        <v>#DIV/0!</v>
      </c>
      <c r="AM33" s="223" t="e">
        <f t="shared" si="22"/>
        <v>#DIV/0!</v>
      </c>
      <c r="AN33" s="223" t="e">
        <f t="shared" si="22"/>
        <v>#DIV/0!</v>
      </c>
      <c r="AO33" s="223" t="e">
        <f t="shared" si="22"/>
        <v>#DIV/0!</v>
      </c>
      <c r="AP33" s="223" t="e">
        <f t="shared" si="22"/>
        <v>#DIV/0!</v>
      </c>
      <c r="AQ33" s="223"/>
      <c r="AR33" s="223" t="e">
        <f t="shared" si="23"/>
        <v>#DIV/0!</v>
      </c>
      <c r="AS33" s="223"/>
      <c r="AT33" s="223"/>
      <c r="AU33" s="223" t="e">
        <f t="shared" si="24"/>
        <v>#DIV/0!</v>
      </c>
      <c r="AV33" s="223" t="e">
        <f t="shared" si="24"/>
        <v>#DIV/0!</v>
      </c>
      <c r="AW33" s="223"/>
      <c r="AX33" s="223"/>
      <c r="AY33" s="223" t="e">
        <f t="shared" si="25"/>
        <v>#DIV/0!</v>
      </c>
      <c r="AZ33" s="223"/>
      <c r="BA33" s="223"/>
    </row>
    <row r="34" spans="1:53" s="189" customFormat="1" ht="14.25">
      <c r="A34" s="238" t="s">
        <v>33</v>
      </c>
      <c r="B34" s="224" t="s">
        <v>666</v>
      </c>
      <c r="C34" s="225">
        <f t="shared" ref="C34:AJ34" si="27">SUBTOTAL(9,C35:C45)</f>
        <v>647636</v>
      </c>
      <c r="D34" s="226">
        <f t="shared" si="27"/>
        <v>512816</v>
      </c>
      <c r="E34" s="226">
        <f t="shared" si="27"/>
        <v>134820</v>
      </c>
      <c r="F34" s="226">
        <f t="shared" si="27"/>
        <v>281956</v>
      </c>
      <c r="G34" s="226">
        <f t="shared" si="27"/>
        <v>228626</v>
      </c>
      <c r="H34" s="226">
        <f t="shared" si="27"/>
        <v>162551</v>
      </c>
      <c r="I34" s="226">
        <f t="shared" si="27"/>
        <v>66075</v>
      </c>
      <c r="J34" s="226">
        <f t="shared" si="27"/>
        <v>53330</v>
      </c>
      <c r="K34" s="226">
        <f t="shared" si="27"/>
        <v>53330</v>
      </c>
      <c r="L34" s="226">
        <f t="shared" si="27"/>
        <v>0</v>
      </c>
      <c r="M34" s="226">
        <f t="shared" si="27"/>
        <v>365680</v>
      </c>
      <c r="N34" s="226">
        <f t="shared" si="27"/>
        <v>284190</v>
      </c>
      <c r="O34" s="226">
        <f t="shared" si="27"/>
        <v>164190</v>
      </c>
      <c r="P34" s="226">
        <f t="shared" si="27"/>
        <v>120000</v>
      </c>
      <c r="Q34" s="226">
        <f t="shared" si="27"/>
        <v>81490</v>
      </c>
      <c r="R34" s="226">
        <f t="shared" si="27"/>
        <v>81490</v>
      </c>
      <c r="S34" s="226">
        <f t="shared" si="27"/>
        <v>0</v>
      </c>
      <c r="T34" s="17">
        <f t="shared" si="27"/>
        <v>678218.56553900009</v>
      </c>
      <c r="U34" s="17">
        <f t="shared" si="27"/>
        <v>549396.58079600008</v>
      </c>
      <c r="V34" s="17">
        <f t="shared" si="27"/>
        <v>128821.98474300001</v>
      </c>
      <c r="W34" s="17">
        <f t="shared" si="27"/>
        <v>310808.92241899995</v>
      </c>
      <c r="X34" s="226">
        <f t="shared" si="27"/>
        <v>259669.26376999999</v>
      </c>
      <c r="Y34" s="226">
        <f t="shared" si="27"/>
        <v>194812.15677</v>
      </c>
      <c r="Z34" s="226">
        <f t="shared" si="27"/>
        <v>64857.107000000004</v>
      </c>
      <c r="AA34" s="17">
        <f t="shared" si="27"/>
        <v>51139.658649000005</v>
      </c>
      <c r="AB34" s="17">
        <f t="shared" si="27"/>
        <v>51139.658649000005</v>
      </c>
      <c r="AC34" s="17">
        <f t="shared" si="27"/>
        <v>0</v>
      </c>
      <c r="AD34" s="17">
        <f t="shared" si="27"/>
        <v>367409.64312000002</v>
      </c>
      <c r="AE34" s="17">
        <f t="shared" si="27"/>
        <v>289727.317026</v>
      </c>
      <c r="AF34" s="17">
        <f t="shared" si="27"/>
        <v>171747.95236900004</v>
      </c>
      <c r="AG34" s="17">
        <f t="shared" si="27"/>
        <v>117979.364657</v>
      </c>
      <c r="AH34" s="17">
        <f t="shared" si="27"/>
        <v>77682.326093999989</v>
      </c>
      <c r="AI34" s="17">
        <f t="shared" si="27"/>
        <v>77682.326093999989</v>
      </c>
      <c r="AJ34" s="17">
        <f t="shared" si="27"/>
        <v>0</v>
      </c>
      <c r="AK34" s="227">
        <f t="shared" si="26"/>
        <v>1.0472218430399176</v>
      </c>
      <c r="AL34" s="227">
        <f t="shared" si="22"/>
        <v>1.0713327602804907</v>
      </c>
      <c r="AM34" s="227">
        <f t="shared" si="22"/>
        <v>0.95551093860703162</v>
      </c>
      <c r="AN34" s="227">
        <f t="shared" si="22"/>
        <v>1.1023312943118784</v>
      </c>
      <c r="AO34" s="227">
        <f t="shared" si="22"/>
        <v>1.1357818610744184</v>
      </c>
      <c r="AP34" s="227">
        <f t="shared" si="22"/>
        <v>1.1984679071183812</v>
      </c>
      <c r="AQ34" s="227"/>
      <c r="AR34" s="227">
        <f t="shared" si="23"/>
        <v>0.95892853270204392</v>
      </c>
      <c r="AS34" s="227">
        <f t="shared" si="23"/>
        <v>0.95892853270204392</v>
      </c>
      <c r="AT34" s="227"/>
      <c r="AU34" s="227">
        <f t="shared" si="24"/>
        <v>1.0047299363377817</v>
      </c>
      <c r="AV34" s="227">
        <f t="shared" si="24"/>
        <v>1.0194845597170907</v>
      </c>
      <c r="AW34" s="227">
        <f t="shared" si="24"/>
        <v>1.0460317459589503</v>
      </c>
      <c r="AX34" s="227"/>
      <c r="AY34" s="227">
        <f t="shared" si="25"/>
        <v>0.95327434156338187</v>
      </c>
      <c r="AZ34" s="227">
        <f t="shared" si="25"/>
        <v>0.95327434156338187</v>
      </c>
      <c r="BA34" s="227"/>
    </row>
    <row r="35" spans="1:53">
      <c r="A35" s="207">
        <v>1</v>
      </c>
      <c r="B35" s="208" t="s">
        <v>898</v>
      </c>
      <c r="C35" s="216">
        <f>D35+E35</f>
        <v>10554</v>
      </c>
      <c r="D35" s="217">
        <f>G35+N35</f>
        <v>5427</v>
      </c>
      <c r="E35" s="217">
        <f>J35+Q35</f>
        <v>5127</v>
      </c>
      <c r="F35" s="217">
        <f>G35+J35</f>
        <v>4306</v>
      </c>
      <c r="G35" s="217">
        <f>H35+I35</f>
        <v>2818</v>
      </c>
      <c r="H35" s="217"/>
      <c r="I35" s="217">
        <f>2818</f>
        <v>2818</v>
      </c>
      <c r="J35" s="217">
        <f>K35+L35</f>
        <v>1488</v>
      </c>
      <c r="K35" s="217">
        <v>1488</v>
      </c>
      <c r="L35" s="217"/>
      <c r="M35" s="217">
        <f>N35+Q35</f>
        <v>6248</v>
      </c>
      <c r="N35" s="217">
        <f>O35+P35</f>
        <v>2609</v>
      </c>
      <c r="O35" s="217">
        <f>1139+350</f>
        <v>1489</v>
      </c>
      <c r="P35" s="217">
        <v>1120</v>
      </c>
      <c r="Q35" s="217">
        <f>R35+S35</f>
        <v>3639</v>
      </c>
      <c r="R35" s="217">
        <v>3639</v>
      </c>
      <c r="S35" s="217"/>
      <c r="T35" s="219">
        <f t="shared" ref="T35:T44" si="28">U35+V35</f>
        <v>8610.3853510000008</v>
      </c>
      <c r="U35" s="209">
        <f>X35+AE35</f>
        <v>4863.2721369999999</v>
      </c>
      <c r="V35" s="209">
        <f>AA35+AH35</f>
        <v>3747.113214</v>
      </c>
      <c r="W35" s="209">
        <f t="shared" ref="W35:W44" si="29">X35+AA35</f>
        <v>4268.8339999999998</v>
      </c>
      <c r="X35" s="217">
        <f>Y35+Z35</f>
        <v>2812.8339999999998</v>
      </c>
      <c r="Y35" s="217"/>
      <c r="Z35" s="217">
        <v>2812.8339999999998</v>
      </c>
      <c r="AA35" s="220">
        <f>AB35+AC35</f>
        <v>1456</v>
      </c>
      <c r="AB35" s="217">
        <f>1454+2</f>
        <v>1456</v>
      </c>
      <c r="AC35" s="220">
        <v>0</v>
      </c>
      <c r="AD35" s="220">
        <f>AE35+AH35</f>
        <v>4341.5513510000001</v>
      </c>
      <c r="AE35" s="220">
        <f>AF35+AG35</f>
        <v>2050.4381370000001</v>
      </c>
      <c r="AF35" s="222">
        <v>1004.525661</v>
      </c>
      <c r="AG35" s="220">
        <v>1045.912476</v>
      </c>
      <c r="AH35" s="209">
        <f t="shared" ref="AH35:AH44" si="30">AI35+AJ35</f>
        <v>2291.113214</v>
      </c>
      <c r="AI35" s="220">
        <v>2291.113214</v>
      </c>
      <c r="AJ35" s="220">
        <v>0</v>
      </c>
      <c r="AK35" s="223">
        <f t="shared" si="26"/>
        <v>0.81584094665529661</v>
      </c>
      <c r="AL35" s="223">
        <f t="shared" si="22"/>
        <v>0.8961253246729316</v>
      </c>
      <c r="AM35" s="223">
        <f t="shared" si="22"/>
        <v>0.7308588285547104</v>
      </c>
      <c r="AN35" s="223">
        <f t="shared" si="22"/>
        <v>0.99136878773803994</v>
      </c>
      <c r="AO35" s="223">
        <f t="shared" si="22"/>
        <v>0.9981667849538679</v>
      </c>
      <c r="AP35" s="223"/>
      <c r="AQ35" s="223"/>
      <c r="AR35" s="223">
        <f t="shared" si="23"/>
        <v>0.978494623655914</v>
      </c>
      <c r="AS35" s="223">
        <f t="shared" si="23"/>
        <v>0.978494623655914</v>
      </c>
      <c r="AT35" s="223"/>
      <c r="AU35" s="223">
        <f t="shared" si="24"/>
        <v>0.69487057474391811</v>
      </c>
      <c r="AV35" s="223">
        <f t="shared" si="24"/>
        <v>0.78590959639708702</v>
      </c>
      <c r="AW35" s="223">
        <f t="shared" si="24"/>
        <v>0.67463106850235055</v>
      </c>
      <c r="AX35" s="223"/>
      <c r="AY35" s="223">
        <f t="shared" si="25"/>
        <v>0.62959967408628748</v>
      </c>
      <c r="AZ35" s="223">
        <f t="shared" si="25"/>
        <v>0.62959967408628748</v>
      </c>
      <c r="BA35" s="223"/>
    </row>
    <row r="36" spans="1:53">
      <c r="A36" s="207">
        <v>2</v>
      </c>
      <c r="B36" s="208" t="s">
        <v>657</v>
      </c>
      <c r="C36" s="216">
        <f t="shared" ref="C36:C44" si="31">D36+E36</f>
        <v>28829</v>
      </c>
      <c r="D36" s="217">
        <f t="shared" ref="D36:D44" si="32">G36+N36</f>
        <v>20654</v>
      </c>
      <c r="E36" s="217">
        <f t="shared" ref="E36:E44" si="33">J36+Q36</f>
        <v>8175</v>
      </c>
      <c r="F36" s="217">
        <f t="shared" ref="F36:F44" si="34">G36+J36</f>
        <v>9001</v>
      </c>
      <c r="G36" s="217">
        <f t="shared" ref="G36:G44" si="35">H36+I36</f>
        <v>6205</v>
      </c>
      <c r="H36" s="217"/>
      <c r="I36" s="217">
        <f>3916+2289</f>
        <v>6205</v>
      </c>
      <c r="J36" s="217">
        <f t="shared" ref="J36:J44" si="36">K36+L36</f>
        <v>2796</v>
      </c>
      <c r="K36" s="217">
        <v>2796</v>
      </c>
      <c r="L36" s="217"/>
      <c r="M36" s="217">
        <f t="shared" ref="M36:M44" si="37">N36+Q36</f>
        <v>19828</v>
      </c>
      <c r="N36" s="217">
        <f t="shared" ref="N36:N44" si="38">O36+P36</f>
        <v>14449</v>
      </c>
      <c r="O36" s="217">
        <f>6539+1410</f>
        <v>7949</v>
      </c>
      <c r="P36" s="217">
        <v>6500</v>
      </c>
      <c r="Q36" s="217">
        <f t="shared" ref="Q36:Q44" si="39">R36+S36</f>
        <v>5379</v>
      </c>
      <c r="R36" s="217">
        <v>5379</v>
      </c>
      <c r="S36" s="217"/>
      <c r="T36" s="219">
        <f t="shared" si="28"/>
        <v>28819.689087999999</v>
      </c>
      <c r="U36" s="209">
        <f t="shared" ref="U36:U44" si="40">X36+AE36</f>
        <v>21105.769130000001</v>
      </c>
      <c r="V36" s="209">
        <f t="shared" ref="V36:V44" si="41">AA36+AH36</f>
        <v>7713.9199580000004</v>
      </c>
      <c r="W36" s="209">
        <f t="shared" si="29"/>
        <v>8896.8184970000002</v>
      </c>
      <c r="X36" s="217">
        <f t="shared" ref="X36:X44" si="42">Y36+Z36</f>
        <v>6152</v>
      </c>
      <c r="Y36" s="217">
        <v>141.85599999999999</v>
      </c>
      <c r="Z36" s="217">
        <f>6152-141.856</f>
        <v>6010.1440000000002</v>
      </c>
      <c r="AA36" s="220">
        <f t="shared" ref="AA36:AA44" si="43">AB36+AC36</f>
        <v>2744.8184970000002</v>
      </c>
      <c r="AB36" s="217">
        <v>2744.8184970000002</v>
      </c>
      <c r="AC36" s="220">
        <v>0</v>
      </c>
      <c r="AD36" s="220">
        <f t="shared" ref="AD36:AD44" si="44">AE36+AH36</f>
        <v>19922.870590999999</v>
      </c>
      <c r="AE36" s="220">
        <f t="shared" ref="AE36:AE44" si="45">AF36+AG36</f>
        <v>14953.769130000001</v>
      </c>
      <c r="AF36" s="222">
        <v>8453.7691300000006</v>
      </c>
      <c r="AG36" s="220">
        <v>6500</v>
      </c>
      <c r="AH36" s="209">
        <f t="shared" si="30"/>
        <v>4969.1014610000002</v>
      </c>
      <c r="AI36" s="217">
        <v>4969.1014610000002</v>
      </c>
      <c r="AJ36" s="220">
        <v>0</v>
      </c>
      <c r="AK36" s="223">
        <f t="shared" si="26"/>
        <v>0.99967702965763638</v>
      </c>
      <c r="AL36" s="223">
        <f t="shared" si="22"/>
        <v>1.0218732027694393</v>
      </c>
      <c r="AM36" s="223">
        <f t="shared" si="22"/>
        <v>0.9435987716207952</v>
      </c>
      <c r="AN36" s="223">
        <f t="shared" si="22"/>
        <v>0.9884255634929453</v>
      </c>
      <c r="AO36" s="223">
        <f t="shared" si="22"/>
        <v>0.99145850120870271</v>
      </c>
      <c r="AP36" s="223"/>
      <c r="AQ36" s="223"/>
      <c r="AR36" s="223">
        <f t="shared" si="23"/>
        <v>0.98169474141630908</v>
      </c>
      <c r="AS36" s="223">
        <f t="shared" si="23"/>
        <v>0.98169474141630908</v>
      </c>
      <c r="AT36" s="223"/>
      <c r="AU36" s="223">
        <f t="shared" si="24"/>
        <v>1.0047846777788985</v>
      </c>
      <c r="AV36" s="223">
        <f t="shared" si="24"/>
        <v>1.0349345373382242</v>
      </c>
      <c r="AW36" s="223">
        <f t="shared" si="24"/>
        <v>1.063500959869166</v>
      </c>
      <c r="AX36" s="223"/>
      <c r="AY36" s="223">
        <f t="shared" si="25"/>
        <v>0.92379651626696413</v>
      </c>
      <c r="AZ36" s="223">
        <f t="shared" si="25"/>
        <v>0.92379651626696413</v>
      </c>
      <c r="BA36" s="223"/>
    </row>
    <row r="37" spans="1:53">
      <c r="A37" s="207">
        <v>3</v>
      </c>
      <c r="B37" s="208" t="s">
        <v>658</v>
      </c>
      <c r="C37" s="216">
        <f t="shared" si="31"/>
        <v>29308</v>
      </c>
      <c r="D37" s="217">
        <f t="shared" si="32"/>
        <v>21579</v>
      </c>
      <c r="E37" s="217">
        <f t="shared" si="33"/>
        <v>7729</v>
      </c>
      <c r="F37" s="217">
        <f t="shared" si="34"/>
        <v>7078</v>
      </c>
      <c r="G37" s="217">
        <f t="shared" si="35"/>
        <v>4972</v>
      </c>
      <c r="H37" s="217"/>
      <c r="I37" s="217">
        <f>3916+1056</f>
        <v>4972</v>
      </c>
      <c r="J37" s="217">
        <f t="shared" si="36"/>
        <v>2106</v>
      </c>
      <c r="K37" s="217">
        <v>2106</v>
      </c>
      <c r="L37" s="217"/>
      <c r="M37" s="217">
        <f t="shared" si="37"/>
        <v>22230</v>
      </c>
      <c r="N37" s="217">
        <f t="shared" si="38"/>
        <v>16607</v>
      </c>
      <c r="O37" s="217">
        <f>7947+710</f>
        <v>8657</v>
      </c>
      <c r="P37" s="217">
        <v>7950</v>
      </c>
      <c r="Q37" s="217">
        <f t="shared" si="39"/>
        <v>5623</v>
      </c>
      <c r="R37" s="217">
        <v>5623</v>
      </c>
      <c r="S37" s="217"/>
      <c r="T37" s="219">
        <f t="shared" si="28"/>
        <v>29212.401357999999</v>
      </c>
      <c r="U37" s="209">
        <f t="shared" si="40"/>
        <v>21518.327094</v>
      </c>
      <c r="V37" s="209">
        <f t="shared" si="41"/>
        <v>7694.0742639999999</v>
      </c>
      <c r="W37" s="209">
        <f t="shared" si="29"/>
        <v>7044.5002640000002</v>
      </c>
      <c r="X37" s="217">
        <f t="shared" si="42"/>
        <v>4971.1970000000001</v>
      </c>
      <c r="Y37" s="217">
        <v>8.7309999999999999</v>
      </c>
      <c r="Z37" s="217">
        <f>4971.197-8.731</f>
        <v>4962.4660000000003</v>
      </c>
      <c r="AA37" s="220">
        <f t="shared" si="43"/>
        <v>2073.3032640000001</v>
      </c>
      <c r="AB37" s="217">
        <v>2073.3032640000001</v>
      </c>
      <c r="AC37" s="220">
        <v>0</v>
      </c>
      <c r="AD37" s="220">
        <f t="shared" si="44"/>
        <v>22167.901094000001</v>
      </c>
      <c r="AE37" s="220">
        <f t="shared" si="45"/>
        <v>16547.130094</v>
      </c>
      <c r="AF37" s="222">
        <v>8617.9570939999994</v>
      </c>
      <c r="AG37" s="220">
        <v>7929.1729999999998</v>
      </c>
      <c r="AH37" s="209">
        <f t="shared" si="30"/>
        <v>5620.7709999999997</v>
      </c>
      <c r="AI37" s="217">
        <v>5620.7709999999997</v>
      </c>
      <c r="AJ37" s="220">
        <v>0</v>
      </c>
      <c r="AK37" s="223">
        <f t="shared" si="26"/>
        <v>0.99673813832400704</v>
      </c>
      <c r="AL37" s="223">
        <f t="shared" si="22"/>
        <v>0.99718833560405951</v>
      </c>
      <c r="AM37" s="223">
        <f t="shared" si="22"/>
        <v>0.99548120895329273</v>
      </c>
      <c r="AN37" s="223">
        <f t="shared" si="22"/>
        <v>0.99526706188188763</v>
      </c>
      <c r="AO37" s="223">
        <f t="shared" si="22"/>
        <v>0.99983849557522131</v>
      </c>
      <c r="AP37" s="223"/>
      <c r="AQ37" s="223"/>
      <c r="AR37" s="223">
        <f t="shared" si="23"/>
        <v>0.98447448433048435</v>
      </c>
      <c r="AS37" s="223">
        <f t="shared" si="23"/>
        <v>0.98447448433048435</v>
      </c>
      <c r="AT37" s="223"/>
      <c r="AU37" s="223">
        <f t="shared" si="24"/>
        <v>0.99720652694556911</v>
      </c>
      <c r="AV37" s="223">
        <f t="shared" si="24"/>
        <v>0.99639489937977965</v>
      </c>
      <c r="AW37" s="223">
        <f t="shared" si="24"/>
        <v>0.99549001894420697</v>
      </c>
      <c r="AX37" s="223"/>
      <c r="AY37" s="223">
        <f t="shared" si="25"/>
        <v>0.99960359238840468</v>
      </c>
      <c r="AZ37" s="223">
        <f t="shared" si="25"/>
        <v>0.99960359238840468</v>
      </c>
      <c r="BA37" s="223"/>
    </row>
    <row r="38" spans="1:53">
      <c r="A38" s="207">
        <v>4</v>
      </c>
      <c r="B38" s="208" t="s">
        <v>659</v>
      </c>
      <c r="C38" s="216">
        <f t="shared" si="31"/>
        <v>40104</v>
      </c>
      <c r="D38" s="217">
        <f t="shared" si="32"/>
        <v>29837</v>
      </c>
      <c r="E38" s="217">
        <f t="shared" si="33"/>
        <v>10267</v>
      </c>
      <c r="F38" s="217">
        <f t="shared" si="34"/>
        <v>6384</v>
      </c>
      <c r="G38" s="217">
        <f t="shared" si="35"/>
        <v>4502</v>
      </c>
      <c r="H38" s="217"/>
      <c r="I38" s="217">
        <f>4502</f>
        <v>4502</v>
      </c>
      <c r="J38" s="217">
        <f t="shared" si="36"/>
        <v>1882</v>
      </c>
      <c r="K38" s="217">
        <v>1882</v>
      </c>
      <c r="L38" s="217"/>
      <c r="M38" s="217">
        <f t="shared" si="37"/>
        <v>33720</v>
      </c>
      <c r="N38" s="217">
        <f t="shared" si="38"/>
        <v>25335</v>
      </c>
      <c r="O38" s="217">
        <v>12685</v>
      </c>
      <c r="P38" s="217">
        <v>12650</v>
      </c>
      <c r="Q38" s="217">
        <f t="shared" si="39"/>
        <v>8385</v>
      </c>
      <c r="R38" s="217">
        <v>8385</v>
      </c>
      <c r="S38" s="217"/>
      <c r="T38" s="219">
        <f t="shared" si="28"/>
        <v>39810.102703000004</v>
      </c>
      <c r="U38" s="209">
        <f t="shared" si="40"/>
        <v>29886.291703000003</v>
      </c>
      <c r="V38" s="209">
        <f t="shared" si="41"/>
        <v>9923.8109999999997</v>
      </c>
      <c r="W38" s="209">
        <f t="shared" si="29"/>
        <v>6346.9329999999991</v>
      </c>
      <c r="X38" s="217">
        <f t="shared" si="42"/>
        <v>4476.2329999999993</v>
      </c>
      <c r="Y38" s="217">
        <v>53.311</v>
      </c>
      <c r="Z38" s="217">
        <v>4422.9219999999996</v>
      </c>
      <c r="AA38" s="220">
        <f t="shared" si="43"/>
        <v>1870.7</v>
      </c>
      <c r="AB38" s="217">
        <v>1870.7</v>
      </c>
      <c r="AC38" s="220">
        <v>0</v>
      </c>
      <c r="AD38" s="220">
        <f t="shared" si="44"/>
        <v>33463.169703</v>
      </c>
      <c r="AE38" s="220">
        <f t="shared" si="45"/>
        <v>25410.058703000002</v>
      </c>
      <c r="AF38" s="222">
        <v>13047.281703000001</v>
      </c>
      <c r="AG38" s="220">
        <v>12362.777</v>
      </c>
      <c r="AH38" s="209">
        <f t="shared" si="30"/>
        <v>8053.1109999999999</v>
      </c>
      <c r="AI38" s="217">
        <v>8053.1109999999999</v>
      </c>
      <c r="AJ38" s="220">
        <v>0</v>
      </c>
      <c r="AK38" s="223">
        <f t="shared" si="26"/>
        <v>0.99267162135946552</v>
      </c>
      <c r="AL38" s="223">
        <f t="shared" si="22"/>
        <v>1.0016520328116099</v>
      </c>
      <c r="AM38" s="223">
        <f t="shared" si="22"/>
        <v>0.96657358527320536</v>
      </c>
      <c r="AN38" s="223">
        <f t="shared" si="22"/>
        <v>0.99419376566416029</v>
      </c>
      <c r="AO38" s="223">
        <f t="shared" si="22"/>
        <v>0.99427654375832952</v>
      </c>
      <c r="AP38" s="223"/>
      <c r="AQ38" s="223"/>
      <c r="AR38" s="223">
        <f t="shared" si="23"/>
        <v>0.99399574920297562</v>
      </c>
      <c r="AS38" s="223">
        <f t="shared" si="23"/>
        <v>0.99399574920297562</v>
      </c>
      <c r="AT38" s="223"/>
      <c r="AU38" s="223">
        <f t="shared" si="24"/>
        <v>0.99238344314946614</v>
      </c>
      <c r="AV38" s="223">
        <f t="shared" si="24"/>
        <v>1.0029626486283798</v>
      </c>
      <c r="AW38" s="223">
        <f t="shared" si="24"/>
        <v>1.0285598504532913</v>
      </c>
      <c r="AX38" s="223"/>
      <c r="AY38" s="223">
        <f t="shared" si="25"/>
        <v>0.96041872391174721</v>
      </c>
      <c r="AZ38" s="223">
        <f t="shared" si="25"/>
        <v>0.96041872391174721</v>
      </c>
      <c r="BA38" s="223"/>
    </row>
    <row r="39" spans="1:53">
      <c r="A39" s="207">
        <v>5</v>
      </c>
      <c r="B39" s="208" t="s">
        <v>664</v>
      </c>
      <c r="C39" s="216">
        <f t="shared" si="31"/>
        <v>134041</v>
      </c>
      <c r="D39" s="217">
        <f t="shared" si="32"/>
        <v>103852</v>
      </c>
      <c r="E39" s="217">
        <f t="shared" si="33"/>
        <v>30189</v>
      </c>
      <c r="F39" s="217">
        <f t="shared" si="34"/>
        <v>69133</v>
      </c>
      <c r="G39" s="217">
        <f t="shared" si="35"/>
        <v>54289</v>
      </c>
      <c r="H39" s="217">
        <f>33711+20578-I39</f>
        <v>42793</v>
      </c>
      <c r="I39" s="218">
        <f>11496</f>
        <v>11496</v>
      </c>
      <c r="J39" s="217">
        <f t="shared" si="36"/>
        <v>14844</v>
      </c>
      <c r="K39" s="217">
        <v>14844</v>
      </c>
      <c r="L39" s="218"/>
      <c r="M39" s="217">
        <f t="shared" si="37"/>
        <v>64908</v>
      </c>
      <c r="N39" s="217">
        <f t="shared" si="38"/>
        <v>49563</v>
      </c>
      <c r="O39" s="217">
        <v>24813</v>
      </c>
      <c r="P39" s="218">
        <v>24750</v>
      </c>
      <c r="Q39" s="217">
        <f t="shared" si="39"/>
        <v>15345</v>
      </c>
      <c r="R39" s="217">
        <v>15345</v>
      </c>
      <c r="S39" s="218"/>
      <c r="T39" s="219">
        <f t="shared" si="28"/>
        <v>153934.203519</v>
      </c>
      <c r="U39" s="209">
        <f t="shared" si="40"/>
        <v>124375.11</v>
      </c>
      <c r="V39" s="209">
        <f t="shared" si="41"/>
        <v>29559.093519000002</v>
      </c>
      <c r="W39" s="209">
        <f t="shared" si="29"/>
        <v>89129.25340999999</v>
      </c>
      <c r="X39" s="217">
        <f t="shared" si="42"/>
        <v>74871.263999999996</v>
      </c>
      <c r="Y39" s="217">
        <f>194.767+29248.393+22166.318+9107.991+2669.81</f>
        <v>63387.279000000002</v>
      </c>
      <c r="Z39" s="218">
        <f>11678.752-194.767</f>
        <v>11483.985000000001</v>
      </c>
      <c r="AA39" s="220">
        <f t="shared" si="43"/>
        <v>14257.98941</v>
      </c>
      <c r="AB39" s="221">
        <v>14257.98941</v>
      </c>
      <c r="AC39" s="221">
        <v>0</v>
      </c>
      <c r="AD39" s="220">
        <f t="shared" si="44"/>
        <v>64804.950109000005</v>
      </c>
      <c r="AE39" s="220">
        <f t="shared" si="45"/>
        <v>49503.846000000005</v>
      </c>
      <c r="AF39" s="222">
        <v>24795.594000000001</v>
      </c>
      <c r="AG39" s="221">
        <v>24708.252</v>
      </c>
      <c r="AH39" s="209">
        <f t="shared" si="30"/>
        <v>15301.104109</v>
      </c>
      <c r="AI39" s="221">
        <v>15301.104109</v>
      </c>
      <c r="AJ39" s="221">
        <v>0</v>
      </c>
      <c r="AK39" s="223">
        <f t="shared" si="26"/>
        <v>1.1484113332413217</v>
      </c>
      <c r="AL39" s="223">
        <f t="shared" si="22"/>
        <v>1.1976188229403382</v>
      </c>
      <c r="AM39" s="223">
        <f t="shared" si="22"/>
        <v>0.979134569512074</v>
      </c>
      <c r="AN39" s="223">
        <f t="shared" si="22"/>
        <v>1.2892432472191282</v>
      </c>
      <c r="AO39" s="223">
        <f t="shared" si="22"/>
        <v>1.3791240214408074</v>
      </c>
      <c r="AP39" s="223">
        <f t="shared" si="22"/>
        <v>1.4812534526674923</v>
      </c>
      <c r="AQ39" s="223"/>
      <c r="AR39" s="223">
        <f t="shared" si="23"/>
        <v>0.96052205672325519</v>
      </c>
      <c r="AS39" s="223">
        <f t="shared" si="23"/>
        <v>0.96052205672325519</v>
      </c>
      <c r="AT39" s="223"/>
      <c r="AU39" s="223">
        <f t="shared" si="24"/>
        <v>0.99841236995439708</v>
      </c>
      <c r="AV39" s="223">
        <f t="shared" si="24"/>
        <v>0.99880648871133715</v>
      </c>
      <c r="AW39" s="223">
        <f t="shared" si="24"/>
        <v>0.99929851287631488</v>
      </c>
      <c r="AX39" s="223"/>
      <c r="AY39" s="223">
        <f t="shared" si="25"/>
        <v>0.99713940104268495</v>
      </c>
      <c r="AZ39" s="223">
        <f t="shared" si="25"/>
        <v>0.99713940104268495</v>
      </c>
      <c r="BA39" s="223"/>
    </row>
    <row r="40" spans="1:53">
      <c r="A40" s="207">
        <v>6</v>
      </c>
      <c r="B40" s="208" t="s">
        <v>660</v>
      </c>
      <c r="C40" s="216">
        <f t="shared" si="31"/>
        <v>90724</v>
      </c>
      <c r="D40" s="217">
        <f t="shared" si="32"/>
        <v>74780</v>
      </c>
      <c r="E40" s="217">
        <f t="shared" si="33"/>
        <v>15944</v>
      </c>
      <c r="F40" s="217">
        <f t="shared" si="34"/>
        <v>28735</v>
      </c>
      <c r="G40" s="217">
        <f t="shared" si="35"/>
        <v>24455</v>
      </c>
      <c r="H40" s="217">
        <f>10614+13841-I40</f>
        <v>13841</v>
      </c>
      <c r="I40" s="218">
        <f>9153+1461</f>
        <v>10614</v>
      </c>
      <c r="J40" s="217">
        <f t="shared" si="36"/>
        <v>4280</v>
      </c>
      <c r="K40" s="217">
        <v>4280</v>
      </c>
      <c r="L40" s="218"/>
      <c r="M40" s="217">
        <f t="shared" si="37"/>
        <v>61989</v>
      </c>
      <c r="N40" s="217">
        <f t="shared" si="38"/>
        <v>50325</v>
      </c>
      <c r="O40" s="217">
        <v>32025</v>
      </c>
      <c r="P40" s="218">
        <v>18300</v>
      </c>
      <c r="Q40" s="217">
        <f t="shared" si="39"/>
        <v>11664</v>
      </c>
      <c r="R40" s="217">
        <v>11664</v>
      </c>
      <c r="S40" s="218"/>
      <c r="T40" s="219">
        <f t="shared" si="28"/>
        <v>97124.113362999997</v>
      </c>
      <c r="U40" s="209">
        <f t="shared" si="40"/>
        <v>81887.320833999998</v>
      </c>
      <c r="V40" s="209">
        <f t="shared" si="41"/>
        <v>15236.792529</v>
      </c>
      <c r="W40" s="209">
        <f t="shared" si="29"/>
        <v>28400.410979</v>
      </c>
      <c r="X40" s="217">
        <f t="shared" si="42"/>
        <v>24460.811000000002</v>
      </c>
      <c r="Y40" s="217">
        <f>48.98+13840.551</f>
        <v>13889.530999999999</v>
      </c>
      <c r="Z40" s="218">
        <f>10620.26-48.98</f>
        <v>10571.28</v>
      </c>
      <c r="AA40" s="220">
        <f t="shared" si="43"/>
        <v>3939.5999790000001</v>
      </c>
      <c r="AB40" s="221">
        <v>3939.5999790000001</v>
      </c>
      <c r="AC40" s="221">
        <v>0</v>
      </c>
      <c r="AD40" s="220">
        <f t="shared" si="44"/>
        <v>68723.702384000004</v>
      </c>
      <c r="AE40" s="220">
        <f t="shared" si="45"/>
        <v>57426.509833999997</v>
      </c>
      <c r="AF40" s="222">
        <v>39137.301078999997</v>
      </c>
      <c r="AG40" s="221">
        <v>18289.208755</v>
      </c>
      <c r="AH40" s="209">
        <f t="shared" si="30"/>
        <v>11297.19255</v>
      </c>
      <c r="AI40" s="221">
        <v>11297.19255</v>
      </c>
      <c r="AJ40" s="221">
        <v>0</v>
      </c>
      <c r="AK40" s="223">
        <f t="shared" si="26"/>
        <v>1.0705448763612715</v>
      </c>
      <c r="AL40" s="223">
        <f t="shared" si="22"/>
        <v>1.0950430707943299</v>
      </c>
      <c r="AM40" s="223">
        <f t="shared" si="22"/>
        <v>0.95564428807074764</v>
      </c>
      <c r="AN40" s="223">
        <f t="shared" si="22"/>
        <v>0.98835604590220982</v>
      </c>
      <c r="AO40" s="223">
        <f t="shared" si="22"/>
        <v>1.0002376201185852</v>
      </c>
      <c r="AP40" s="223">
        <f t="shared" si="22"/>
        <v>1.0035063217975579</v>
      </c>
      <c r="AQ40" s="223"/>
      <c r="AR40" s="223">
        <f t="shared" si="23"/>
        <v>0.92046728481308415</v>
      </c>
      <c r="AS40" s="223">
        <f t="shared" si="23"/>
        <v>0.92046728481308415</v>
      </c>
      <c r="AT40" s="223"/>
      <c r="AU40" s="223">
        <f t="shared" si="24"/>
        <v>1.1086435074610013</v>
      </c>
      <c r="AV40" s="223">
        <f t="shared" si="24"/>
        <v>1.1411129624242424</v>
      </c>
      <c r="AW40" s="223">
        <f t="shared" si="24"/>
        <v>1.2220859041061669</v>
      </c>
      <c r="AX40" s="223"/>
      <c r="AY40" s="223">
        <f t="shared" si="25"/>
        <v>0.96855217335390942</v>
      </c>
      <c r="AZ40" s="223">
        <f t="shared" si="25"/>
        <v>0.96855217335390942</v>
      </c>
      <c r="BA40" s="223"/>
    </row>
    <row r="41" spans="1:53">
      <c r="A41" s="207">
        <v>7</v>
      </c>
      <c r="B41" s="208" t="s">
        <v>661</v>
      </c>
      <c r="C41" s="216">
        <f t="shared" si="31"/>
        <v>82805</v>
      </c>
      <c r="D41" s="217">
        <f t="shared" si="32"/>
        <v>67861</v>
      </c>
      <c r="E41" s="217">
        <f t="shared" si="33"/>
        <v>14944</v>
      </c>
      <c r="F41" s="217">
        <f t="shared" si="34"/>
        <v>25265</v>
      </c>
      <c r="G41" s="217">
        <f t="shared" si="35"/>
        <v>22175</v>
      </c>
      <c r="H41" s="217">
        <f>7775+14400-I41</f>
        <v>14400</v>
      </c>
      <c r="I41" s="218">
        <f>7049+726</f>
        <v>7775</v>
      </c>
      <c r="J41" s="217">
        <f t="shared" si="36"/>
        <v>3090</v>
      </c>
      <c r="K41" s="217">
        <v>3090</v>
      </c>
      <c r="L41" s="218"/>
      <c r="M41" s="217">
        <f t="shared" si="37"/>
        <v>57540</v>
      </c>
      <c r="N41" s="217">
        <f t="shared" si="38"/>
        <v>45686</v>
      </c>
      <c r="O41" s="217">
        <v>28566</v>
      </c>
      <c r="P41" s="218">
        <v>17120</v>
      </c>
      <c r="Q41" s="217">
        <f t="shared" si="39"/>
        <v>11854</v>
      </c>
      <c r="R41" s="217">
        <v>11854</v>
      </c>
      <c r="S41" s="218"/>
      <c r="T41" s="219">
        <f t="shared" si="28"/>
        <v>82603.261308000001</v>
      </c>
      <c r="U41" s="209">
        <f t="shared" si="40"/>
        <v>68186.147557999997</v>
      </c>
      <c r="V41" s="209">
        <f t="shared" si="41"/>
        <v>14417.11375</v>
      </c>
      <c r="W41" s="209">
        <f t="shared" si="29"/>
        <v>25367.198250000001</v>
      </c>
      <c r="X41" s="217">
        <f t="shared" si="42"/>
        <v>22286.163</v>
      </c>
      <c r="Y41" s="217">
        <f>154.121+14400</f>
        <v>14554.120999999999</v>
      </c>
      <c r="Z41" s="218">
        <f>7886.163-154.121</f>
        <v>7732.0419999999995</v>
      </c>
      <c r="AA41" s="220">
        <f t="shared" si="43"/>
        <v>3081.0352499999999</v>
      </c>
      <c r="AB41" s="221">
        <v>3081.0352499999999</v>
      </c>
      <c r="AC41" s="221">
        <v>0</v>
      </c>
      <c r="AD41" s="220">
        <f t="shared" si="44"/>
        <v>57236.063058</v>
      </c>
      <c r="AE41" s="220">
        <f t="shared" si="45"/>
        <v>45899.984557999996</v>
      </c>
      <c r="AF41" s="222">
        <v>28927.801557999999</v>
      </c>
      <c r="AG41" s="221">
        <v>16972.183000000001</v>
      </c>
      <c r="AH41" s="209">
        <f t="shared" si="30"/>
        <v>11336.0785</v>
      </c>
      <c r="AI41" s="221">
        <v>11336.0785</v>
      </c>
      <c r="AJ41" s="221">
        <v>0</v>
      </c>
      <c r="AK41" s="223">
        <f t="shared" si="26"/>
        <v>0.99756368948734986</v>
      </c>
      <c r="AL41" s="223">
        <f t="shared" si="22"/>
        <v>1.0047913758712663</v>
      </c>
      <c r="AM41" s="223">
        <f t="shared" si="22"/>
        <v>0.96474262245717346</v>
      </c>
      <c r="AN41" s="223">
        <f t="shared" si="22"/>
        <v>1.0040450524440927</v>
      </c>
      <c r="AO41" s="223">
        <f t="shared" si="22"/>
        <v>1.0050129875986471</v>
      </c>
      <c r="AP41" s="223">
        <f t="shared" si="22"/>
        <v>1.0107028472222221</v>
      </c>
      <c r="AQ41" s="223"/>
      <c r="AR41" s="223">
        <f t="shared" si="23"/>
        <v>0.99709878640776695</v>
      </c>
      <c r="AS41" s="223">
        <f t="shared" si="23"/>
        <v>0.99709878640776695</v>
      </c>
      <c r="AT41" s="223"/>
      <c r="AU41" s="223">
        <f t="shared" si="24"/>
        <v>0.99471781470281539</v>
      </c>
      <c r="AV41" s="223">
        <f t="shared" si="24"/>
        <v>1.0046838103138815</v>
      </c>
      <c r="AW41" s="223">
        <f t="shared" si="24"/>
        <v>1.0126654609675838</v>
      </c>
      <c r="AX41" s="223"/>
      <c r="AY41" s="223">
        <f t="shared" si="25"/>
        <v>0.95630829255947358</v>
      </c>
      <c r="AZ41" s="223">
        <f t="shared" si="25"/>
        <v>0.95630829255947358</v>
      </c>
      <c r="BA41" s="223"/>
    </row>
    <row r="42" spans="1:53">
      <c r="A42" s="207">
        <v>8</v>
      </c>
      <c r="B42" s="208" t="s">
        <v>613</v>
      </c>
      <c r="C42" s="216">
        <f t="shared" si="31"/>
        <v>44884</v>
      </c>
      <c r="D42" s="217">
        <f t="shared" si="32"/>
        <v>36423</v>
      </c>
      <c r="E42" s="217">
        <f t="shared" si="33"/>
        <v>8461</v>
      </c>
      <c r="F42" s="217">
        <f t="shared" si="34"/>
        <v>20236</v>
      </c>
      <c r="G42" s="217">
        <f t="shared" si="35"/>
        <v>17982</v>
      </c>
      <c r="H42" s="217">
        <f>5479+12503-I42</f>
        <v>12503</v>
      </c>
      <c r="I42" s="218">
        <f>4028+1451</f>
        <v>5479</v>
      </c>
      <c r="J42" s="217">
        <f t="shared" si="36"/>
        <v>2254</v>
      </c>
      <c r="K42" s="217">
        <v>2254</v>
      </c>
      <c r="L42" s="218"/>
      <c r="M42" s="217">
        <f t="shared" si="37"/>
        <v>24648</v>
      </c>
      <c r="N42" s="217">
        <f t="shared" si="38"/>
        <v>18441</v>
      </c>
      <c r="O42" s="217">
        <f>9081+360</f>
        <v>9441</v>
      </c>
      <c r="P42" s="218">
        <v>9000</v>
      </c>
      <c r="Q42" s="217">
        <f t="shared" si="39"/>
        <v>6207</v>
      </c>
      <c r="R42" s="217">
        <v>6207</v>
      </c>
      <c r="S42" s="218"/>
      <c r="T42" s="219">
        <f t="shared" si="28"/>
        <v>44594.979041999999</v>
      </c>
      <c r="U42" s="209">
        <f t="shared" si="40"/>
        <v>36253.272891000001</v>
      </c>
      <c r="V42" s="209">
        <f t="shared" si="41"/>
        <v>8341.7061510000003</v>
      </c>
      <c r="W42" s="209">
        <f t="shared" si="29"/>
        <v>20097.433151000001</v>
      </c>
      <c r="X42" s="217">
        <f t="shared" si="42"/>
        <v>17860.379000000001</v>
      </c>
      <c r="Y42" s="217">
        <f>12503.449+33.608</f>
        <v>12537.057000000001</v>
      </c>
      <c r="Z42" s="218">
        <f>5356.93-33.608</f>
        <v>5323.3220000000001</v>
      </c>
      <c r="AA42" s="220">
        <f t="shared" si="43"/>
        <v>2237.0541509999998</v>
      </c>
      <c r="AB42" s="221">
        <v>2237.0541509999998</v>
      </c>
      <c r="AC42" s="221">
        <v>0</v>
      </c>
      <c r="AD42" s="220">
        <f t="shared" si="44"/>
        <v>24497.545891000002</v>
      </c>
      <c r="AE42" s="220">
        <f t="shared" si="45"/>
        <v>18392.893891</v>
      </c>
      <c r="AF42" s="222">
        <v>9405.5239999999994</v>
      </c>
      <c r="AG42" s="221">
        <v>8987.3698910000003</v>
      </c>
      <c r="AH42" s="209">
        <f t="shared" si="30"/>
        <v>6104.652</v>
      </c>
      <c r="AI42" s="221">
        <v>6104.652</v>
      </c>
      <c r="AJ42" s="221">
        <v>0</v>
      </c>
      <c r="AK42" s="223">
        <f t="shared" si="26"/>
        <v>0.99356071299349435</v>
      </c>
      <c r="AL42" s="223">
        <f t="shared" si="22"/>
        <v>0.99534011177003545</v>
      </c>
      <c r="AM42" s="223">
        <f t="shared" si="22"/>
        <v>0.98590073880156015</v>
      </c>
      <c r="AN42" s="223">
        <f t="shared" si="22"/>
        <v>0.99315245853923706</v>
      </c>
      <c r="AO42" s="223">
        <f t="shared" si="22"/>
        <v>0.99323651429206994</v>
      </c>
      <c r="AP42" s="223">
        <f t="shared" si="22"/>
        <v>1.0027239062624971</v>
      </c>
      <c r="AQ42" s="223"/>
      <c r="AR42" s="223">
        <f t="shared" si="23"/>
        <v>0.99248187710736457</v>
      </c>
      <c r="AS42" s="223">
        <f t="shared" si="23"/>
        <v>0.99248187710736457</v>
      </c>
      <c r="AT42" s="223"/>
      <c r="AU42" s="223">
        <f t="shared" si="24"/>
        <v>0.99389588976793253</v>
      </c>
      <c r="AV42" s="223">
        <f t="shared" si="24"/>
        <v>0.99739135030638248</v>
      </c>
      <c r="AW42" s="223">
        <f t="shared" si="24"/>
        <v>0.99624234720898208</v>
      </c>
      <c r="AX42" s="223"/>
      <c r="AY42" s="223">
        <f t="shared" si="25"/>
        <v>0.98351087481875299</v>
      </c>
      <c r="AZ42" s="223">
        <f t="shared" si="25"/>
        <v>0.98351087481875299</v>
      </c>
      <c r="BA42" s="223"/>
    </row>
    <row r="43" spans="1:53">
      <c r="A43" s="207">
        <v>9</v>
      </c>
      <c r="B43" s="208" t="s">
        <v>663</v>
      </c>
      <c r="C43" s="216">
        <f t="shared" si="31"/>
        <v>103630</v>
      </c>
      <c r="D43" s="217">
        <f t="shared" si="32"/>
        <v>81222</v>
      </c>
      <c r="E43" s="217">
        <f t="shared" si="33"/>
        <v>22408</v>
      </c>
      <c r="F43" s="217">
        <f t="shared" si="34"/>
        <v>64916</v>
      </c>
      <c r="G43" s="217">
        <f t="shared" si="35"/>
        <v>51152</v>
      </c>
      <c r="H43" s="217">
        <f>9215+41937-I43</f>
        <v>41937</v>
      </c>
      <c r="I43" s="218">
        <f>7182+2033</f>
        <v>9215</v>
      </c>
      <c r="J43" s="217">
        <f t="shared" si="36"/>
        <v>13764</v>
      </c>
      <c r="K43" s="217">
        <v>13764</v>
      </c>
      <c r="L43" s="218"/>
      <c r="M43" s="217">
        <f t="shared" si="37"/>
        <v>38714</v>
      </c>
      <c r="N43" s="217">
        <f t="shared" si="38"/>
        <v>30070</v>
      </c>
      <c r="O43" s="217">
        <f>14870+350</f>
        <v>15220</v>
      </c>
      <c r="P43" s="218">
        <v>14850</v>
      </c>
      <c r="Q43" s="217">
        <f t="shared" si="39"/>
        <v>8644</v>
      </c>
      <c r="R43" s="217">
        <v>8644</v>
      </c>
      <c r="S43" s="218"/>
      <c r="T43" s="219">
        <f t="shared" si="28"/>
        <v>101807.11500000001</v>
      </c>
      <c r="U43" s="209">
        <f t="shared" si="40"/>
        <v>80482.862000000008</v>
      </c>
      <c r="V43" s="209">
        <f t="shared" si="41"/>
        <v>21324.253000000001</v>
      </c>
      <c r="W43" s="209">
        <f t="shared" si="29"/>
        <v>65198.523000000001</v>
      </c>
      <c r="X43" s="217">
        <f t="shared" si="42"/>
        <v>51956.954000000005</v>
      </c>
      <c r="Y43" s="217">
        <f>36749.084+6055</f>
        <v>42804.084000000003</v>
      </c>
      <c r="Z43" s="218">
        <f>9152.87</f>
        <v>9152.8700000000008</v>
      </c>
      <c r="AA43" s="220">
        <f t="shared" si="43"/>
        <v>13241.569</v>
      </c>
      <c r="AB43" s="221">
        <v>13241.569</v>
      </c>
      <c r="AC43" s="221">
        <v>0</v>
      </c>
      <c r="AD43" s="220">
        <f t="shared" si="44"/>
        <v>36608.591999999997</v>
      </c>
      <c r="AE43" s="220">
        <f t="shared" si="45"/>
        <v>28525.907999999999</v>
      </c>
      <c r="AF43" s="222">
        <v>15077.276</v>
      </c>
      <c r="AG43" s="221">
        <v>13448.632</v>
      </c>
      <c r="AH43" s="209">
        <f t="shared" si="30"/>
        <v>8082.6840000000002</v>
      </c>
      <c r="AI43" s="221">
        <v>8082.6840000000002</v>
      </c>
      <c r="AJ43" s="221">
        <v>0</v>
      </c>
      <c r="AK43" s="223">
        <f t="shared" si="26"/>
        <v>0.98240967866447948</v>
      </c>
      <c r="AL43" s="223">
        <f t="shared" si="22"/>
        <v>0.9908997808475537</v>
      </c>
      <c r="AM43" s="223">
        <f t="shared" si="22"/>
        <v>0.95163571046054984</v>
      </c>
      <c r="AN43" s="223">
        <f t="shared" si="22"/>
        <v>1.0043521319859512</v>
      </c>
      <c r="AO43" s="223">
        <f t="shared" si="22"/>
        <v>1.015736510791367</v>
      </c>
      <c r="AP43" s="223">
        <f t="shared" si="22"/>
        <v>1.0206758709492811</v>
      </c>
      <c r="AQ43" s="223"/>
      <c r="AR43" s="223">
        <f t="shared" si="23"/>
        <v>0.96204366463237423</v>
      </c>
      <c r="AS43" s="223">
        <f t="shared" si="23"/>
        <v>0.96204366463237423</v>
      </c>
      <c r="AT43" s="223"/>
      <c r="AU43" s="223">
        <f t="shared" si="24"/>
        <v>0.94561636617244405</v>
      </c>
      <c r="AV43" s="223">
        <f t="shared" si="24"/>
        <v>0.94865008313934152</v>
      </c>
      <c r="AW43" s="223">
        <f t="shared" si="24"/>
        <v>0.99062260183968465</v>
      </c>
      <c r="AX43" s="223"/>
      <c r="AY43" s="223">
        <f t="shared" si="25"/>
        <v>0.93506293382693195</v>
      </c>
      <c r="AZ43" s="223">
        <f t="shared" si="25"/>
        <v>0.93506293382693195</v>
      </c>
      <c r="BA43" s="223"/>
    </row>
    <row r="44" spans="1:53">
      <c r="A44" s="207">
        <v>10</v>
      </c>
      <c r="B44" s="208" t="s">
        <v>662</v>
      </c>
      <c r="C44" s="216">
        <f t="shared" si="31"/>
        <v>82757</v>
      </c>
      <c r="D44" s="217">
        <f t="shared" si="32"/>
        <v>71181</v>
      </c>
      <c r="E44" s="217">
        <f t="shared" si="33"/>
        <v>11576</v>
      </c>
      <c r="F44" s="217">
        <f t="shared" si="34"/>
        <v>46902</v>
      </c>
      <c r="G44" s="217">
        <f t="shared" si="35"/>
        <v>40076</v>
      </c>
      <c r="H44" s="217">
        <f>2999+37077-I44</f>
        <v>37077</v>
      </c>
      <c r="I44" s="218">
        <f>2999</f>
        <v>2999</v>
      </c>
      <c r="J44" s="217">
        <f t="shared" si="36"/>
        <v>6826</v>
      </c>
      <c r="K44" s="217">
        <v>6826</v>
      </c>
      <c r="L44" s="218"/>
      <c r="M44" s="217">
        <f t="shared" si="37"/>
        <v>35855</v>
      </c>
      <c r="N44" s="217">
        <f t="shared" si="38"/>
        <v>31105</v>
      </c>
      <c r="O44" s="217">
        <v>23345</v>
      </c>
      <c r="P44" s="218">
        <v>7760</v>
      </c>
      <c r="Q44" s="217">
        <f t="shared" si="39"/>
        <v>4750</v>
      </c>
      <c r="R44" s="217">
        <v>4750</v>
      </c>
      <c r="S44" s="218"/>
      <c r="T44" s="219">
        <f t="shared" si="28"/>
        <v>91702.314806999988</v>
      </c>
      <c r="U44" s="209">
        <f t="shared" si="40"/>
        <v>80838.207448999994</v>
      </c>
      <c r="V44" s="209">
        <f t="shared" si="41"/>
        <v>10864.107358000001</v>
      </c>
      <c r="W44" s="209">
        <f t="shared" si="29"/>
        <v>56059.017867999995</v>
      </c>
      <c r="X44" s="217">
        <f t="shared" si="42"/>
        <v>49821.428769999999</v>
      </c>
      <c r="Y44" s="217">
        <f>47253.59877+182.588</f>
        <v>47436.18677</v>
      </c>
      <c r="Z44" s="218">
        <f>2567.83-182.588</f>
        <v>2385.2419999999997</v>
      </c>
      <c r="AA44" s="220">
        <f t="shared" si="43"/>
        <v>6237.5890980000004</v>
      </c>
      <c r="AB44" s="221">
        <v>6237.5890980000004</v>
      </c>
      <c r="AC44" s="221">
        <v>0</v>
      </c>
      <c r="AD44" s="220">
        <f t="shared" si="44"/>
        <v>35643.296939</v>
      </c>
      <c r="AE44" s="220">
        <f t="shared" si="45"/>
        <v>31016.778678999999</v>
      </c>
      <c r="AF44" s="222">
        <v>23280.922144</v>
      </c>
      <c r="AG44" s="221">
        <v>7735.8565349999999</v>
      </c>
      <c r="AH44" s="209">
        <f t="shared" si="30"/>
        <v>4626.5182599999998</v>
      </c>
      <c r="AI44" s="221">
        <v>4626.5182599999998</v>
      </c>
      <c r="AJ44" s="221">
        <v>0</v>
      </c>
      <c r="AK44" s="223">
        <f t="shared" si="26"/>
        <v>1.1080913373732735</v>
      </c>
      <c r="AL44" s="223">
        <f t="shared" si="26"/>
        <v>1.1356711404588302</v>
      </c>
      <c r="AM44" s="223">
        <f t="shared" si="26"/>
        <v>0.9385027088804424</v>
      </c>
      <c r="AN44" s="223">
        <f t="shared" si="26"/>
        <v>1.1952372578568078</v>
      </c>
      <c r="AO44" s="223">
        <f t="shared" si="26"/>
        <v>1.243173689240443</v>
      </c>
      <c r="AP44" s="223">
        <f t="shared" si="26"/>
        <v>1.2793965738867761</v>
      </c>
      <c r="AQ44" s="223"/>
      <c r="AR44" s="223">
        <f t="shared" si="23"/>
        <v>0.91379857866979197</v>
      </c>
      <c r="AS44" s="223">
        <f t="shared" si="23"/>
        <v>0.91379857866979197</v>
      </c>
      <c r="AT44" s="223"/>
      <c r="AU44" s="223">
        <f t="shared" si="24"/>
        <v>0.99409557771579971</v>
      </c>
      <c r="AV44" s="223">
        <f t="shared" si="24"/>
        <v>0.99716375756309272</v>
      </c>
      <c r="AW44" s="223">
        <f t="shared" si="24"/>
        <v>0.99725517858213752</v>
      </c>
      <c r="AX44" s="223"/>
      <c r="AY44" s="223">
        <f t="shared" si="25"/>
        <v>0.97400384421052633</v>
      </c>
      <c r="AZ44" s="223">
        <f t="shared" si="25"/>
        <v>0.97400384421052633</v>
      </c>
      <c r="BA44" s="223"/>
    </row>
    <row r="45" spans="1:53">
      <c r="A45" s="211"/>
      <c r="B45" s="270" t="s">
        <v>159</v>
      </c>
      <c r="C45" s="271"/>
      <c r="D45" s="236"/>
      <c r="E45" s="236"/>
      <c r="F45" s="236"/>
      <c r="G45" s="236"/>
      <c r="H45" s="236"/>
      <c r="I45" s="236"/>
      <c r="J45" s="236"/>
      <c r="K45" s="236"/>
      <c r="L45" s="236"/>
      <c r="M45" s="236"/>
      <c r="N45" s="236"/>
      <c r="O45" s="236"/>
      <c r="P45" s="236"/>
      <c r="Q45" s="236"/>
      <c r="R45" s="236"/>
      <c r="S45" s="236"/>
      <c r="T45" s="272"/>
      <c r="U45" s="273"/>
      <c r="V45" s="273"/>
      <c r="W45" s="273"/>
      <c r="X45" s="273"/>
      <c r="Y45" s="273"/>
      <c r="Z45" s="273"/>
      <c r="AA45" s="273"/>
      <c r="AB45" s="273"/>
      <c r="AC45" s="273"/>
      <c r="AD45" s="273"/>
      <c r="AE45" s="273"/>
      <c r="AF45" s="273"/>
      <c r="AG45" s="273"/>
      <c r="AH45" s="273"/>
      <c r="AI45" s="273"/>
      <c r="AJ45" s="273"/>
      <c r="AK45" s="274"/>
      <c r="AL45" s="275"/>
      <c r="AM45" s="275"/>
      <c r="AN45" s="275"/>
      <c r="AO45" s="275"/>
      <c r="AP45" s="275"/>
      <c r="AQ45" s="275"/>
      <c r="AR45" s="275"/>
      <c r="AS45" s="275"/>
      <c r="AT45" s="275"/>
      <c r="AU45" s="275"/>
      <c r="AV45" s="275"/>
      <c r="AW45" s="275"/>
      <c r="AX45" s="275"/>
      <c r="AY45" s="275"/>
      <c r="AZ45" s="275"/>
      <c r="BA45" s="275"/>
    </row>
    <row r="47" spans="1:53">
      <c r="H47" s="367">
        <f>I35+L35+P35+S35</f>
        <v>3938</v>
      </c>
      <c r="Y47" s="185"/>
      <c r="Z47" s="185"/>
    </row>
    <row r="48" spans="1:53">
      <c r="H48" s="367">
        <f t="shared" ref="H48:H58" si="46">I36+L36+P36+S36</f>
        <v>12705</v>
      </c>
      <c r="Y48" s="185"/>
      <c r="Z48" s="185"/>
    </row>
    <row r="49" spans="8:26">
      <c r="H49" s="367">
        <f t="shared" si="46"/>
        <v>12922</v>
      </c>
      <c r="Y49" s="185"/>
      <c r="Z49" s="185"/>
    </row>
    <row r="50" spans="8:26">
      <c r="H50" s="367">
        <f t="shared" si="46"/>
        <v>17152</v>
      </c>
    </row>
    <row r="51" spans="8:26">
      <c r="H51" s="367">
        <f t="shared" si="46"/>
        <v>36246</v>
      </c>
    </row>
    <row r="52" spans="8:26">
      <c r="H52" s="367">
        <f t="shared" si="46"/>
        <v>28914</v>
      </c>
    </row>
    <row r="53" spans="8:26">
      <c r="H53" s="367">
        <f t="shared" si="46"/>
        <v>24895</v>
      </c>
    </row>
    <row r="54" spans="8:26">
      <c r="H54" s="367">
        <f t="shared" si="46"/>
        <v>14479</v>
      </c>
    </row>
    <row r="55" spans="8:26">
      <c r="H55" s="367">
        <f t="shared" si="46"/>
        <v>24065</v>
      </c>
    </row>
    <row r="56" spans="8:26">
      <c r="H56" s="367">
        <f t="shared" si="46"/>
        <v>10759</v>
      </c>
    </row>
    <row r="57" spans="8:26">
      <c r="H57" s="367">
        <f t="shared" si="46"/>
        <v>0</v>
      </c>
    </row>
    <row r="58" spans="8:26">
      <c r="H58" s="367">
        <f t="shared" si="46"/>
        <v>0</v>
      </c>
    </row>
  </sheetData>
  <mergeCells count="46">
    <mergeCell ref="A7:A10"/>
    <mergeCell ref="B7:B10"/>
    <mergeCell ref="C7:S7"/>
    <mergeCell ref="T7:AJ7"/>
    <mergeCell ref="AK7:BA7"/>
    <mergeCell ref="C8:C10"/>
    <mergeCell ref="D8:E8"/>
    <mergeCell ref="F8:L8"/>
    <mergeCell ref="M8:S8"/>
    <mergeCell ref="T8:T10"/>
    <mergeCell ref="D9:D10"/>
    <mergeCell ref="E9:E10"/>
    <mergeCell ref="F9:F10"/>
    <mergeCell ref="G9:I9"/>
    <mergeCell ref="AN8:AT8"/>
    <mergeCell ref="AU8:BA8"/>
    <mergeCell ref="A1:B1"/>
    <mergeCell ref="Q1:S1"/>
    <mergeCell ref="A3:BA3"/>
    <mergeCell ref="A4:BA4"/>
    <mergeCell ref="AZ6:BA6"/>
    <mergeCell ref="W8:AC8"/>
    <mergeCell ref="AD8:AJ8"/>
    <mergeCell ref="AK8:AK10"/>
    <mergeCell ref="AL8:AM8"/>
    <mergeCell ref="U8:V8"/>
    <mergeCell ref="W9:W10"/>
    <mergeCell ref="X9:Z9"/>
    <mergeCell ref="AA9:AC9"/>
    <mergeCell ref="AD9:AD10"/>
    <mergeCell ref="V9:V10"/>
    <mergeCell ref="J9:L9"/>
    <mergeCell ref="M9:M10"/>
    <mergeCell ref="N9:P9"/>
    <mergeCell ref="Q9:S9"/>
    <mergeCell ref="U9:U10"/>
    <mergeCell ref="AR9:AT9"/>
    <mergeCell ref="AU9:AU10"/>
    <mergeCell ref="AV9:AX9"/>
    <mergeCell ref="AY9:BA9"/>
    <mergeCell ref="AE9:AG9"/>
    <mergeCell ref="AH9:AJ9"/>
    <mergeCell ref="AL9:AL10"/>
    <mergeCell ref="AM9:AM10"/>
    <mergeCell ref="AN9:AN10"/>
    <mergeCell ref="AO9:AQ9"/>
  </mergeCells>
  <dataValidations count="1">
    <dataValidation allowBlank="1" showInputMessage="1" showErrorMessage="1" prompt="ct 135" sqref="I34" xr:uid="{00000000-0002-0000-0E00-000000000000}"/>
  </dataValidations>
  <pageMargins left="0" right="0" top="0" bottom="0" header="0.31496062992125984" footer="0.31496062992125984"/>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workbookViewId="0">
      <pane xSplit="2" ySplit="3" topLeftCell="C10" activePane="bottomRight" state="frozen"/>
      <selection pane="topRight" activeCell="C1" sqref="C1"/>
      <selection pane="bottomLeft" activeCell="A4" sqref="A4"/>
      <selection pane="bottomRight" activeCell="G14" sqref="G14"/>
    </sheetView>
  </sheetViews>
  <sheetFormatPr defaultColWidth="9.125" defaultRowHeight="18.75"/>
  <cols>
    <col min="1" max="1" width="5.625" style="123" customWidth="1"/>
    <col min="2" max="2" width="53.625" style="123" customWidth="1"/>
    <col min="3" max="3" width="17.375" style="123" customWidth="1"/>
    <col min="4" max="4" width="20.625" style="123" customWidth="1"/>
    <col min="5" max="5" width="21.75" style="123" customWidth="1"/>
    <col min="6" max="6" width="19" style="123" customWidth="1"/>
    <col min="7" max="16384" width="9.125" style="123"/>
  </cols>
  <sheetData>
    <row r="1" spans="1:7" s="116" customFormat="1">
      <c r="A1" s="504" t="s">
        <v>690</v>
      </c>
      <c r="B1" s="504"/>
      <c r="C1" s="504"/>
      <c r="D1" s="504"/>
      <c r="E1" s="504"/>
      <c r="F1" s="504"/>
    </row>
    <row r="3" spans="1:7" s="118" customFormat="1" ht="37.5">
      <c r="A3" s="117" t="s">
        <v>16</v>
      </c>
      <c r="B3" s="117" t="s">
        <v>691</v>
      </c>
      <c r="C3" s="117" t="s">
        <v>692</v>
      </c>
      <c r="D3" s="117" t="s">
        <v>693</v>
      </c>
      <c r="E3" s="117" t="s">
        <v>694</v>
      </c>
      <c r="F3" s="117" t="s">
        <v>695</v>
      </c>
    </row>
    <row r="4" spans="1:7" ht="36" customHeight="1">
      <c r="A4" s="119">
        <v>1</v>
      </c>
      <c r="B4" s="120" t="s">
        <v>741</v>
      </c>
      <c r="C4" s="121" t="s">
        <v>696</v>
      </c>
      <c r="D4" s="122" t="s">
        <v>697</v>
      </c>
      <c r="E4" s="122" t="s">
        <v>702</v>
      </c>
      <c r="F4" s="505" t="s">
        <v>742</v>
      </c>
    </row>
    <row r="5" spans="1:7">
      <c r="A5" s="122">
        <v>2</v>
      </c>
      <c r="B5" s="124" t="s">
        <v>698</v>
      </c>
      <c r="C5" s="125" t="s">
        <v>699</v>
      </c>
      <c r="D5" s="122" t="s">
        <v>697</v>
      </c>
      <c r="E5" s="122"/>
      <c r="F5" s="506"/>
    </row>
    <row r="6" spans="1:7" ht="37.5">
      <c r="A6" s="122">
        <v>3</v>
      </c>
      <c r="B6" s="124" t="s">
        <v>700</v>
      </c>
      <c r="C6" s="125" t="s">
        <v>701</v>
      </c>
      <c r="D6" s="122" t="s">
        <v>702</v>
      </c>
      <c r="E6" s="122"/>
      <c r="F6" s="506"/>
    </row>
    <row r="7" spans="1:7">
      <c r="A7" s="122">
        <v>4</v>
      </c>
      <c r="B7" s="124" t="s">
        <v>707</v>
      </c>
      <c r="C7" s="125" t="s">
        <v>703</v>
      </c>
      <c r="D7" s="122" t="s">
        <v>720</v>
      </c>
      <c r="E7" s="122" t="s">
        <v>718</v>
      </c>
      <c r="F7" s="506"/>
    </row>
    <row r="8" spans="1:7">
      <c r="A8" s="122">
        <v>5</v>
      </c>
      <c r="B8" s="124" t="s">
        <v>709</v>
      </c>
      <c r="C8" s="125" t="s">
        <v>704</v>
      </c>
      <c r="D8" s="122" t="s">
        <v>708</v>
      </c>
      <c r="E8" s="122" t="s">
        <v>710</v>
      </c>
      <c r="F8" s="506"/>
    </row>
    <row r="9" spans="1:7" ht="37.5">
      <c r="A9" s="122">
        <v>6</v>
      </c>
      <c r="B9" s="124" t="s">
        <v>711</v>
      </c>
      <c r="C9" s="125" t="s">
        <v>705</v>
      </c>
      <c r="D9" s="122" t="s">
        <v>720</v>
      </c>
      <c r="E9" s="122" t="s">
        <v>718</v>
      </c>
      <c r="F9" s="506"/>
    </row>
    <row r="10" spans="1:7" ht="37.5">
      <c r="A10" s="122">
        <v>7</v>
      </c>
      <c r="B10" s="124" t="s">
        <v>712</v>
      </c>
      <c r="C10" s="125" t="s">
        <v>706</v>
      </c>
      <c r="D10" s="122" t="s">
        <v>720</v>
      </c>
      <c r="E10" s="122" t="s">
        <v>744</v>
      </c>
      <c r="F10" s="506"/>
    </row>
    <row r="11" spans="1:7">
      <c r="A11" s="122">
        <v>8</v>
      </c>
      <c r="B11" s="124" t="s">
        <v>716</v>
      </c>
      <c r="C11" s="125" t="s">
        <v>713</v>
      </c>
      <c r="D11" s="122" t="s">
        <v>697</v>
      </c>
      <c r="E11" s="122" t="s">
        <v>710</v>
      </c>
      <c r="F11" s="506"/>
    </row>
    <row r="12" spans="1:7" ht="37.5">
      <c r="A12" s="122">
        <v>9</v>
      </c>
      <c r="B12" s="124" t="s">
        <v>719</v>
      </c>
      <c r="C12" s="125" t="s">
        <v>714</v>
      </c>
      <c r="D12" s="122" t="s">
        <v>697</v>
      </c>
      <c r="E12" s="122" t="s">
        <v>710</v>
      </c>
      <c r="F12" s="506"/>
    </row>
    <row r="13" spans="1:7">
      <c r="A13" s="122">
        <v>10</v>
      </c>
      <c r="B13" s="124" t="s">
        <v>717</v>
      </c>
      <c r="C13" s="125" t="s">
        <v>715</v>
      </c>
      <c r="D13" s="122" t="s">
        <v>718</v>
      </c>
      <c r="E13" s="122" t="s">
        <v>744</v>
      </c>
      <c r="F13" s="506"/>
    </row>
    <row r="14" spans="1:7" ht="37.5">
      <c r="A14" s="122">
        <v>11</v>
      </c>
      <c r="B14" s="130" t="s">
        <v>738</v>
      </c>
      <c r="C14" s="125" t="s">
        <v>729</v>
      </c>
      <c r="D14" s="129" t="s">
        <v>739</v>
      </c>
      <c r="E14" s="129" t="s">
        <v>743</v>
      </c>
      <c r="F14" s="506"/>
      <c r="G14" s="131" t="s">
        <v>749</v>
      </c>
    </row>
    <row r="15" spans="1:7" ht="37.5">
      <c r="A15" s="122">
        <v>12</v>
      </c>
      <c r="B15" s="130" t="s">
        <v>740</v>
      </c>
      <c r="C15" s="125" t="s">
        <v>721</v>
      </c>
      <c r="D15" s="129" t="s">
        <v>739</v>
      </c>
      <c r="E15" s="129" t="s">
        <v>743</v>
      </c>
      <c r="F15" s="507"/>
      <c r="G15" s="131" t="s">
        <v>749</v>
      </c>
    </row>
    <row r="16" spans="1:7">
      <c r="A16" s="126"/>
      <c r="B16" s="126"/>
      <c r="C16" s="126"/>
      <c r="D16" s="126"/>
      <c r="E16" s="126"/>
      <c r="F16" s="126"/>
    </row>
  </sheetData>
  <mergeCells count="2">
    <mergeCell ref="A1:F1"/>
    <mergeCell ref="F4:F15"/>
  </mergeCells>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J47"/>
  <sheetViews>
    <sheetView tabSelected="1" topLeftCell="B1" zoomScaleNormal="100" workbookViewId="0">
      <pane ySplit="7" topLeftCell="A8" activePane="bottomLeft" state="frozen"/>
      <selection pane="bottomLeft" activeCell="F10" sqref="F10"/>
    </sheetView>
  </sheetViews>
  <sheetFormatPr defaultColWidth="9.125" defaultRowHeight="14.25" outlineLevelRow="1"/>
  <cols>
    <col min="1" max="1" width="0" style="471" hidden="1" customWidth="1"/>
    <col min="2" max="2" width="7.75" style="471" customWidth="1"/>
    <col min="3" max="3" width="29" style="471" customWidth="1"/>
    <col min="4" max="4" width="14.125" style="471" customWidth="1"/>
    <col min="5" max="5" width="13.75" style="471" customWidth="1"/>
    <col min="6" max="6" width="11.75" style="471" customWidth="1"/>
    <col min="7" max="7" width="12.625" style="471" customWidth="1"/>
    <col min="8" max="8" width="9.125" style="471" customWidth="1"/>
    <col min="9" max="9" width="10.125" style="471" customWidth="1"/>
    <col min="10" max="10" width="9.125" style="471" customWidth="1"/>
    <col min="11" max="16384" width="9.125" style="471"/>
  </cols>
  <sheetData>
    <row r="1" spans="2:10" ht="15">
      <c r="B1" s="473"/>
      <c r="F1" s="508" t="s">
        <v>696</v>
      </c>
      <c r="G1" s="508"/>
    </row>
    <row r="2" spans="2:10">
      <c r="B2" s="510" t="s">
        <v>891</v>
      </c>
      <c r="C2" s="510"/>
      <c r="D2" s="510"/>
      <c r="E2" s="510"/>
      <c r="F2" s="510"/>
      <c r="G2" s="510"/>
    </row>
    <row r="3" spans="2:10">
      <c r="B3" s="511" t="s">
        <v>871</v>
      </c>
      <c r="C3" s="511"/>
      <c r="D3" s="511"/>
      <c r="E3" s="511"/>
      <c r="F3" s="511"/>
      <c r="G3" s="511"/>
    </row>
    <row r="4" spans="2:10">
      <c r="B4" s="474"/>
      <c r="F4" s="512" t="s">
        <v>869</v>
      </c>
      <c r="G4" s="512"/>
    </row>
    <row r="5" spans="2:10">
      <c r="B5" s="513" t="s">
        <v>16</v>
      </c>
      <c r="C5" s="513" t="s">
        <v>17</v>
      </c>
      <c r="D5" s="513" t="s">
        <v>18</v>
      </c>
      <c r="E5" s="513" t="s">
        <v>19</v>
      </c>
      <c r="F5" s="513" t="s">
        <v>1047</v>
      </c>
      <c r="G5" s="513"/>
    </row>
    <row r="6" spans="2:10" ht="21" customHeight="1">
      <c r="B6" s="513"/>
      <c r="C6" s="513"/>
      <c r="D6" s="513"/>
      <c r="E6" s="513"/>
      <c r="F6" s="472" t="s">
        <v>21</v>
      </c>
      <c r="G6" s="472" t="s">
        <v>22</v>
      </c>
    </row>
    <row r="7" spans="2:10">
      <c r="B7" s="472" t="s">
        <v>23</v>
      </c>
      <c r="C7" s="472" t="s">
        <v>24</v>
      </c>
      <c r="D7" s="472">
        <v>1</v>
      </c>
      <c r="E7" s="472">
        <v>2</v>
      </c>
      <c r="F7" s="472" t="s">
        <v>25</v>
      </c>
      <c r="G7" s="472" t="s">
        <v>26</v>
      </c>
    </row>
    <row r="8" spans="2:10" ht="24.75" customHeight="1">
      <c r="B8" s="279" t="s">
        <v>23</v>
      </c>
      <c r="C8" s="280" t="s">
        <v>27</v>
      </c>
      <c r="D8" s="351">
        <f>D9+D12+D15+D16+D17+D18+D19</f>
        <v>8261747</v>
      </c>
      <c r="E8" s="351">
        <f>E9+E12+E15+E16+E17+E18+E19+E20</f>
        <v>10880626.216910999</v>
      </c>
      <c r="F8" s="205">
        <f>E8-D8</f>
        <v>2618879.2169109993</v>
      </c>
      <c r="G8" s="281">
        <f>IF(D8=0, ,E8/D8*100)</f>
        <v>131.69885518052052</v>
      </c>
      <c r="I8" s="475"/>
      <c r="J8" s="475"/>
    </row>
    <row r="9" spans="2:10" ht="36.75" customHeight="1">
      <c r="B9" s="373" t="s">
        <v>28</v>
      </c>
      <c r="C9" s="374" t="s">
        <v>29</v>
      </c>
      <c r="D9" s="352">
        <f>D10+D11</f>
        <v>2993150</v>
      </c>
      <c r="E9" s="352">
        <f>E10+E11+0.5</f>
        <v>2502667.595336</v>
      </c>
      <c r="F9" s="375">
        <f t="shared" ref="F9:F42" si="0">E9-D9</f>
        <v>-490482.40466400003</v>
      </c>
      <c r="G9" s="376">
        <f t="shared" ref="G9:G42" si="1">IF(D9=0, ,E9/D9*100)</f>
        <v>83.613169915841169</v>
      </c>
    </row>
    <row r="10" spans="2:10" ht="21" customHeight="1">
      <c r="B10" s="476" t="s">
        <v>30</v>
      </c>
      <c r="C10" s="477" t="s">
        <v>31</v>
      </c>
      <c r="D10" s="354">
        <v>1959350</v>
      </c>
      <c r="E10" s="354">
        <f>1394010.536395-25</f>
        <v>1393985.5363950001</v>
      </c>
      <c r="F10" s="368">
        <f t="shared" si="0"/>
        <v>-565364.46360499994</v>
      </c>
      <c r="G10" s="478">
        <f t="shared" si="1"/>
        <v>71.145305146859926</v>
      </c>
    </row>
    <row r="11" spans="2:10" ht="33" customHeight="1">
      <c r="B11" s="476" t="s">
        <v>30</v>
      </c>
      <c r="C11" s="477" t="s">
        <v>32</v>
      </c>
      <c r="D11" s="356">
        <v>1033800</v>
      </c>
      <c r="E11" s="354">
        <v>1108681.5589409999</v>
      </c>
      <c r="F11" s="368">
        <f t="shared" si="0"/>
        <v>74881.558940999908</v>
      </c>
      <c r="G11" s="478">
        <f t="shared" si="1"/>
        <v>107.24333129628553</v>
      </c>
    </row>
    <row r="12" spans="2:10" ht="30" customHeight="1">
      <c r="B12" s="373" t="s">
        <v>33</v>
      </c>
      <c r="C12" s="374" t="s">
        <v>34</v>
      </c>
      <c r="D12" s="352">
        <f>SUM(D13:D14)</f>
        <v>5268597</v>
      </c>
      <c r="E12" s="352">
        <f>SUM(E13:E14)</f>
        <v>5644588.1438759994</v>
      </c>
      <c r="F12" s="375">
        <f t="shared" si="0"/>
        <v>375991.14387599938</v>
      </c>
      <c r="G12" s="376">
        <f t="shared" si="1"/>
        <v>107.13645670519114</v>
      </c>
    </row>
    <row r="13" spans="2:10" ht="26.25" customHeight="1">
      <c r="B13" s="476">
        <v>1</v>
      </c>
      <c r="C13" s="477" t="s">
        <v>35</v>
      </c>
      <c r="D13" s="353">
        <f>3120986+164837</f>
        <v>3285823</v>
      </c>
      <c r="E13" s="354">
        <v>3285823</v>
      </c>
      <c r="F13" s="368">
        <f t="shared" si="0"/>
        <v>0</v>
      </c>
      <c r="G13" s="478">
        <f t="shared" si="1"/>
        <v>100</v>
      </c>
    </row>
    <row r="14" spans="2:10" ht="24" customHeight="1">
      <c r="B14" s="476">
        <v>2</v>
      </c>
      <c r="C14" s="477" t="s">
        <v>36</v>
      </c>
      <c r="D14" s="354">
        <v>1982774</v>
      </c>
      <c r="E14" s="354">
        <v>2358765.1438759998</v>
      </c>
      <c r="F14" s="368">
        <f t="shared" si="0"/>
        <v>375991.14387599984</v>
      </c>
      <c r="G14" s="478">
        <f t="shared" si="1"/>
        <v>118.96288451815487</v>
      </c>
    </row>
    <row r="15" spans="2:10" ht="22.5" customHeight="1">
      <c r="B15" s="373" t="s">
        <v>37</v>
      </c>
      <c r="C15" s="374" t="s">
        <v>38</v>
      </c>
      <c r="D15" s="352"/>
      <c r="E15" s="352"/>
      <c r="F15" s="375">
        <f t="shared" si="0"/>
        <v>0</v>
      </c>
      <c r="G15" s="376">
        <f t="shared" si="1"/>
        <v>0</v>
      </c>
    </row>
    <row r="16" spans="2:10" ht="21.75" customHeight="1">
      <c r="B16" s="373" t="s">
        <v>39</v>
      </c>
      <c r="C16" s="374" t="s">
        <v>971</v>
      </c>
      <c r="D16" s="352"/>
      <c r="E16" s="352">
        <v>106080.350489</v>
      </c>
      <c r="F16" s="375">
        <f t="shared" si="0"/>
        <v>106080.350489</v>
      </c>
      <c r="G16" s="376">
        <f t="shared" si="1"/>
        <v>0</v>
      </c>
    </row>
    <row r="17" spans="2:9" ht="30.75" customHeight="1">
      <c r="B17" s="373" t="s">
        <v>40</v>
      </c>
      <c r="C17" s="374" t="s">
        <v>41</v>
      </c>
      <c r="D17" s="352"/>
      <c r="E17" s="352">
        <v>2584074.338399</v>
      </c>
      <c r="F17" s="375">
        <f t="shared" si="0"/>
        <v>2584074.338399</v>
      </c>
      <c r="G17" s="376">
        <f t="shared" si="1"/>
        <v>0</v>
      </c>
    </row>
    <row r="18" spans="2:9" ht="30.75" customHeight="1">
      <c r="B18" s="373" t="s">
        <v>127</v>
      </c>
      <c r="C18" s="374" t="s">
        <v>969</v>
      </c>
      <c r="D18" s="352"/>
      <c r="E18" s="352">
        <v>24918.865811</v>
      </c>
      <c r="F18" s="375">
        <f t="shared" ref="F18:F19" si="2">E18-D18</f>
        <v>24918.865811</v>
      </c>
      <c r="G18" s="376">
        <f t="shared" ref="G18:G19" si="3">IF(D18=0, ,E18/D18*100)</f>
        <v>0</v>
      </c>
    </row>
    <row r="19" spans="2:9" ht="30.75" customHeight="1">
      <c r="B19" s="373" t="s">
        <v>162</v>
      </c>
      <c r="C19" s="374" t="s">
        <v>970</v>
      </c>
      <c r="D19" s="352"/>
      <c r="E19" s="352">
        <v>18271.922999999999</v>
      </c>
      <c r="F19" s="375">
        <f t="shared" si="2"/>
        <v>18271.922999999999</v>
      </c>
      <c r="G19" s="376">
        <f t="shared" si="3"/>
        <v>0</v>
      </c>
    </row>
    <row r="20" spans="2:9" ht="30.75" customHeight="1">
      <c r="B20" s="373" t="s">
        <v>868</v>
      </c>
      <c r="C20" s="374" t="s">
        <v>1043</v>
      </c>
      <c r="D20" s="352"/>
      <c r="E20" s="352">
        <v>25</v>
      </c>
      <c r="F20" s="375">
        <f t="shared" ref="F20" si="4">E20-D20</f>
        <v>25</v>
      </c>
      <c r="G20" s="376">
        <f t="shared" ref="G20" si="5">IF(D20=0, ,E20/D20*100)</f>
        <v>0</v>
      </c>
    </row>
    <row r="21" spans="2:9" ht="23.25" customHeight="1">
      <c r="B21" s="373" t="s">
        <v>24</v>
      </c>
      <c r="C21" s="374" t="s">
        <v>42</v>
      </c>
      <c r="D21" s="352">
        <f>D22+D31+D34+D35</f>
        <v>8277847</v>
      </c>
      <c r="E21" s="352">
        <f>E22+E31+E34+E35</f>
        <v>10817728.318277</v>
      </c>
      <c r="F21" s="375">
        <f t="shared" si="0"/>
        <v>2539881.3182769995</v>
      </c>
      <c r="G21" s="376">
        <f t="shared" si="1"/>
        <v>130.68287343649865</v>
      </c>
      <c r="I21" s="475"/>
    </row>
    <row r="22" spans="2:9" ht="25.5" customHeight="1">
      <c r="B22" s="373" t="s">
        <v>28</v>
      </c>
      <c r="C22" s="374" t="s">
        <v>1054</v>
      </c>
      <c r="D22" s="352">
        <f>D23+D30</f>
        <v>6295073</v>
      </c>
      <c r="E22" s="352">
        <f>E23+E30</f>
        <v>5893438.5353259994</v>
      </c>
      <c r="F22" s="375">
        <f t="shared" si="0"/>
        <v>-401634.46467400063</v>
      </c>
      <c r="G22" s="376">
        <f t="shared" si="1"/>
        <v>93.619860092583508</v>
      </c>
    </row>
    <row r="23" spans="2:9" ht="25.5" customHeight="1">
      <c r="B23" s="373" t="s">
        <v>786</v>
      </c>
      <c r="C23" s="374" t="s">
        <v>1055</v>
      </c>
      <c r="D23" s="352">
        <f>D24+D25+D26+D27+D28+D29</f>
        <v>6278973</v>
      </c>
      <c r="E23" s="352">
        <f t="shared" ref="E23:F23" si="6">E24+E25+E26+E27+E28+E29</f>
        <v>5882726.3479219992</v>
      </c>
      <c r="F23" s="352">
        <f t="shared" si="6"/>
        <v>-396246.65207800001</v>
      </c>
      <c r="G23" s="376">
        <f t="shared" si="1"/>
        <v>93.689307915832714</v>
      </c>
    </row>
    <row r="24" spans="2:9" ht="23.25" customHeight="1">
      <c r="B24" s="476">
        <v>1</v>
      </c>
      <c r="C24" s="477" t="s">
        <v>43</v>
      </c>
      <c r="D24" s="354">
        <v>825372</v>
      </c>
      <c r="E24" s="354">
        <f>2882555.295346-'Bieu 61_Hien vo'!U12-'Bieu 51_Xong'!E35-E29-E30</f>
        <v>1228339.7125190003</v>
      </c>
      <c r="F24" s="368">
        <f t="shared" si="0"/>
        <v>402967.71251900028</v>
      </c>
      <c r="G24" s="478">
        <f t="shared" si="1"/>
        <v>148.82255667977594</v>
      </c>
    </row>
    <row r="25" spans="2:9" ht="19.5" customHeight="1">
      <c r="B25" s="476">
        <v>2</v>
      </c>
      <c r="C25" s="477" t="s">
        <v>44</v>
      </c>
      <c r="D25" s="354">
        <v>4445685</v>
      </c>
      <c r="E25" s="354">
        <f>5113734.094622-'Bieu 61_Hien vo'!V12-'Bieu 51_Xong'!E71</f>
        <v>4579953.3867929997</v>
      </c>
      <c r="F25" s="368">
        <f t="shared" si="0"/>
        <v>134268.38679299969</v>
      </c>
      <c r="G25" s="478">
        <f t="shared" si="1"/>
        <v>103.02019569072031</v>
      </c>
    </row>
    <row r="26" spans="2:9" ht="28.5" customHeight="1">
      <c r="B26" s="476">
        <v>3</v>
      </c>
      <c r="C26" s="477" t="s">
        <v>1056</v>
      </c>
      <c r="D26" s="354">
        <v>1300</v>
      </c>
      <c r="E26" s="354">
        <v>18520.929</v>
      </c>
      <c r="F26" s="368">
        <f t="shared" si="0"/>
        <v>17220.929</v>
      </c>
      <c r="G26" s="478">
        <f t="shared" si="1"/>
        <v>1424.6868461538461</v>
      </c>
    </row>
    <row r="27" spans="2:9" ht="27" customHeight="1">
      <c r="B27" s="476">
        <v>4</v>
      </c>
      <c r="C27" s="477" t="s">
        <v>45</v>
      </c>
      <c r="D27" s="354">
        <v>1000</v>
      </c>
      <c r="E27" s="354">
        <v>1000</v>
      </c>
      <c r="F27" s="368">
        <f t="shared" si="0"/>
        <v>0</v>
      </c>
      <c r="G27" s="478">
        <f t="shared" si="1"/>
        <v>100</v>
      </c>
    </row>
    <row r="28" spans="2:9" ht="21.75" customHeight="1">
      <c r="B28" s="476">
        <v>5</v>
      </c>
      <c r="C28" s="477" t="s">
        <v>46</v>
      </c>
      <c r="D28" s="354">
        <v>125616</v>
      </c>
      <c r="E28" s="354"/>
      <c r="F28" s="368">
        <f t="shared" si="0"/>
        <v>-125616</v>
      </c>
      <c r="G28" s="478">
        <f t="shared" si="1"/>
        <v>0</v>
      </c>
    </row>
    <row r="29" spans="2:9" ht="36" customHeight="1">
      <c r="B29" s="476">
        <v>6</v>
      </c>
      <c r="C29" s="477" t="s">
        <v>892</v>
      </c>
      <c r="D29" s="354">
        <v>880000</v>
      </c>
      <c r="E29" s="354">
        <v>54912.319609999999</v>
      </c>
      <c r="F29" s="368">
        <f t="shared" si="0"/>
        <v>-825087.68038999999</v>
      </c>
      <c r="G29" s="478">
        <f t="shared" si="1"/>
        <v>6.2400363193181816</v>
      </c>
    </row>
    <row r="30" spans="2:9" s="479" customFormat="1" ht="36" customHeight="1">
      <c r="B30" s="373" t="s">
        <v>854</v>
      </c>
      <c r="C30" s="374" t="s">
        <v>968</v>
      </c>
      <c r="D30" s="352">
        <v>16100</v>
      </c>
      <c r="E30" s="352">
        <v>10712.187403999998</v>
      </c>
      <c r="F30" s="375">
        <f t="shared" si="0"/>
        <v>-5387.8125960000016</v>
      </c>
      <c r="G30" s="376">
        <f t="shared" si="1"/>
        <v>66.535325490683221</v>
      </c>
    </row>
    <row r="31" spans="2:9" ht="27.75" customHeight="1">
      <c r="B31" s="373" t="s">
        <v>33</v>
      </c>
      <c r="C31" s="374" t="s">
        <v>48</v>
      </c>
      <c r="D31" s="352">
        <f>SUM(D32:D33)</f>
        <v>1982774</v>
      </c>
      <c r="E31" s="352">
        <f>E32+E33</f>
        <v>2122371.7836420001</v>
      </c>
      <c r="F31" s="375">
        <f t="shared" si="0"/>
        <v>139597.78364200005</v>
      </c>
      <c r="G31" s="376">
        <f t="shared" si="1"/>
        <v>107.04052926062172</v>
      </c>
    </row>
    <row r="32" spans="2:9" ht="30" customHeight="1">
      <c r="B32" s="476">
        <v>1</v>
      </c>
      <c r="C32" s="477" t="s">
        <v>49</v>
      </c>
      <c r="D32" s="354">
        <v>661008</v>
      </c>
      <c r="E32" s="354">
        <f>'Bieu 51_Xong'!E31</f>
        <v>690045.38341300003</v>
      </c>
      <c r="F32" s="368">
        <f t="shared" si="0"/>
        <v>29037.383413000032</v>
      </c>
      <c r="G32" s="478">
        <f t="shared" si="1"/>
        <v>104.39289439961392</v>
      </c>
    </row>
    <row r="33" spans="2:10" ht="27.75" customHeight="1">
      <c r="B33" s="476">
        <v>2</v>
      </c>
      <c r="C33" s="477" t="s">
        <v>50</v>
      </c>
      <c r="D33" s="354">
        <v>1321766</v>
      </c>
      <c r="E33" s="354">
        <f>'Bieu 51_Xong'!E34</f>
        <v>1432326.400229</v>
      </c>
      <c r="F33" s="368">
        <f t="shared" si="0"/>
        <v>110560.40022900002</v>
      </c>
      <c r="G33" s="478">
        <f t="shared" si="1"/>
        <v>108.36459707913504</v>
      </c>
    </row>
    <row r="34" spans="2:10" ht="32.25" customHeight="1">
      <c r="B34" s="373" t="s">
        <v>37</v>
      </c>
      <c r="C34" s="374" t="s">
        <v>51</v>
      </c>
      <c r="D34" s="352"/>
      <c r="E34" s="352">
        <v>2591890.6532199997</v>
      </c>
      <c r="F34" s="375">
        <f t="shared" si="0"/>
        <v>2591890.6532199997</v>
      </c>
      <c r="G34" s="376">
        <f t="shared" si="1"/>
        <v>0</v>
      </c>
    </row>
    <row r="35" spans="2:10" ht="32.25" customHeight="1">
      <c r="B35" s="373" t="s">
        <v>39</v>
      </c>
      <c r="C35" s="374" t="s">
        <v>893</v>
      </c>
      <c r="D35" s="352"/>
      <c r="E35" s="352">
        <v>210027.346089</v>
      </c>
      <c r="F35" s="375">
        <f t="shared" si="0"/>
        <v>210027.346089</v>
      </c>
      <c r="G35" s="376">
        <f t="shared" si="1"/>
        <v>0</v>
      </c>
    </row>
    <row r="36" spans="2:10" ht="25.5" customHeight="1">
      <c r="B36" s="373" t="s">
        <v>53</v>
      </c>
      <c r="C36" s="374" t="s">
        <v>54</v>
      </c>
      <c r="D36" s="352">
        <f>D37+D38</f>
        <v>18000</v>
      </c>
      <c r="E36" s="352"/>
      <c r="F36" s="375">
        <f t="shared" si="0"/>
        <v>-18000</v>
      </c>
      <c r="G36" s="376">
        <f t="shared" si="1"/>
        <v>0</v>
      </c>
    </row>
    <row r="37" spans="2:10" ht="19.5" customHeight="1">
      <c r="B37" s="373" t="s">
        <v>28</v>
      </c>
      <c r="C37" s="374" t="s">
        <v>55</v>
      </c>
      <c r="D37" s="352">
        <v>18000</v>
      </c>
      <c r="E37" s="352"/>
      <c r="F37" s="375">
        <f t="shared" si="0"/>
        <v>-18000</v>
      </c>
      <c r="G37" s="376">
        <f t="shared" si="1"/>
        <v>0</v>
      </c>
    </row>
    <row r="38" spans="2:10" ht="30" customHeight="1">
      <c r="B38" s="373" t="s">
        <v>33</v>
      </c>
      <c r="C38" s="374" t="s">
        <v>56</v>
      </c>
      <c r="D38" s="480"/>
      <c r="E38" s="480">
        <v>18000</v>
      </c>
      <c r="F38" s="481">
        <f t="shared" si="0"/>
        <v>18000</v>
      </c>
      <c r="G38" s="376">
        <f t="shared" si="1"/>
        <v>0</v>
      </c>
    </row>
    <row r="39" spans="2:10" ht="21" customHeight="1">
      <c r="B39" s="373" t="s">
        <v>57</v>
      </c>
      <c r="C39" s="374" t="s">
        <v>58</v>
      </c>
      <c r="D39" s="352">
        <f>D41+D40</f>
        <v>34100</v>
      </c>
      <c r="E39" s="352">
        <f>E19</f>
        <v>18271.922999999999</v>
      </c>
      <c r="F39" s="375">
        <f t="shared" si="0"/>
        <v>-15828.077000000001</v>
      </c>
      <c r="G39" s="376">
        <f t="shared" si="1"/>
        <v>53.583351906158349</v>
      </c>
    </row>
    <row r="40" spans="2:10" ht="18" hidden="1" customHeight="1" outlineLevel="1">
      <c r="B40" s="373" t="s">
        <v>28</v>
      </c>
      <c r="C40" s="374" t="s">
        <v>59</v>
      </c>
      <c r="D40" s="352">
        <v>16100</v>
      </c>
      <c r="E40" s="352"/>
      <c r="F40" s="375">
        <f t="shared" si="0"/>
        <v>-16100</v>
      </c>
      <c r="G40" s="376">
        <f t="shared" si="1"/>
        <v>0</v>
      </c>
    </row>
    <row r="41" spans="2:10" ht="16.5" hidden="1" customHeight="1" outlineLevel="1">
      <c r="B41" s="373" t="s">
        <v>33</v>
      </c>
      <c r="C41" s="374" t="s">
        <v>60</v>
      </c>
      <c r="D41" s="352">
        <v>18000</v>
      </c>
      <c r="E41" s="352"/>
      <c r="F41" s="375">
        <f t="shared" si="0"/>
        <v>-18000</v>
      </c>
      <c r="G41" s="376">
        <f t="shared" si="1"/>
        <v>0</v>
      </c>
    </row>
    <row r="42" spans="2:10" ht="33.75" customHeight="1" collapsed="1">
      <c r="B42" s="295" t="s">
        <v>61</v>
      </c>
      <c r="C42" s="296" t="s">
        <v>62</v>
      </c>
      <c r="D42" s="236">
        <v>52867</v>
      </c>
      <c r="E42" s="482">
        <v>49026</v>
      </c>
      <c r="F42" s="483">
        <f t="shared" si="0"/>
        <v>-3841</v>
      </c>
      <c r="G42" s="484">
        <f t="shared" si="1"/>
        <v>92.73459814250856</v>
      </c>
      <c r="J42" s="475"/>
    </row>
    <row r="44" spans="2:10" ht="92.25" customHeight="1">
      <c r="B44" s="509" t="s">
        <v>1044</v>
      </c>
      <c r="C44" s="509"/>
      <c r="D44" s="509"/>
      <c r="E44" s="509"/>
      <c r="F44" s="509"/>
      <c r="G44" s="509"/>
    </row>
    <row r="47" spans="2:10">
      <c r="E47" s="475"/>
    </row>
  </sheetData>
  <mergeCells count="10">
    <mergeCell ref="F1:G1"/>
    <mergeCell ref="B44:G44"/>
    <mergeCell ref="B2:G2"/>
    <mergeCell ref="B3:G3"/>
    <mergeCell ref="F4:G4"/>
    <mergeCell ref="B5:B6"/>
    <mergeCell ref="C5:C6"/>
    <mergeCell ref="D5:D6"/>
    <mergeCell ref="E5:E6"/>
    <mergeCell ref="F5:G5"/>
  </mergeCells>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L82"/>
  <sheetViews>
    <sheetView zoomScaleNormal="100" workbookViewId="0">
      <selection activeCell="H5" sqref="H5:I5"/>
    </sheetView>
  </sheetViews>
  <sheetFormatPr defaultColWidth="9.125" defaultRowHeight="15" outlineLevelRow="1"/>
  <cols>
    <col min="1" max="1" width="9.125" style="422"/>
    <col min="2" max="2" width="6.75" style="422" customWidth="1"/>
    <col min="3" max="3" width="46" style="422" customWidth="1"/>
    <col min="4" max="4" width="12.75" style="422" customWidth="1"/>
    <col min="5" max="5" width="11.75" style="422" customWidth="1"/>
    <col min="6" max="6" width="11.375" style="422" customWidth="1"/>
    <col min="7" max="7" width="11.75" style="422" customWidth="1"/>
    <col min="8" max="9" width="11.25" style="422" customWidth="1"/>
    <col min="10" max="10" width="9.125" style="422"/>
    <col min="11" max="11" width="12.625" style="422" bestFit="1" customWidth="1"/>
    <col min="12" max="12" width="18.375" style="422" customWidth="1"/>
    <col min="13" max="16384" width="9.125" style="422"/>
  </cols>
  <sheetData>
    <row r="1" spans="2:12">
      <c r="B1" s="421"/>
      <c r="H1" s="514" t="s">
        <v>1039</v>
      </c>
      <c r="I1" s="514"/>
    </row>
    <row r="2" spans="2:12" ht="25.5" customHeight="1">
      <c r="B2" s="517" t="s">
        <v>919</v>
      </c>
      <c r="C2" s="517"/>
      <c r="D2" s="517"/>
      <c r="E2" s="517"/>
      <c r="F2" s="517"/>
      <c r="G2" s="517"/>
      <c r="H2" s="517"/>
      <c r="I2" s="517"/>
    </row>
    <row r="3" spans="2:12">
      <c r="B3" s="518" t="s">
        <v>871</v>
      </c>
      <c r="C3" s="518"/>
      <c r="D3" s="518"/>
      <c r="E3" s="518"/>
      <c r="F3" s="518"/>
      <c r="G3" s="518"/>
      <c r="H3" s="518"/>
      <c r="I3" s="518"/>
    </row>
    <row r="4" spans="2:12" hidden="1">
      <c r="B4" s="423"/>
      <c r="C4" s="424" t="s">
        <v>1032</v>
      </c>
      <c r="D4" s="423"/>
      <c r="E4" s="423"/>
      <c r="F4" s="423"/>
      <c r="G4" s="423"/>
      <c r="H4" s="423"/>
      <c r="I4" s="423"/>
    </row>
    <row r="5" spans="2:12">
      <c r="C5" s="425"/>
      <c r="G5" s="426"/>
      <c r="H5" s="516" t="s">
        <v>869</v>
      </c>
      <c r="I5" s="516"/>
    </row>
    <row r="6" spans="2:12">
      <c r="B6" s="519" t="s">
        <v>16</v>
      </c>
      <c r="C6" s="519" t="s">
        <v>64</v>
      </c>
      <c r="D6" s="519" t="s">
        <v>18</v>
      </c>
      <c r="E6" s="519"/>
      <c r="F6" s="519" t="s">
        <v>19</v>
      </c>
      <c r="G6" s="519"/>
      <c r="H6" s="519" t="s">
        <v>65</v>
      </c>
      <c r="I6" s="519"/>
    </row>
    <row r="7" spans="2:12" ht="25.5">
      <c r="B7" s="519"/>
      <c r="C7" s="519"/>
      <c r="D7" s="420" t="s">
        <v>66</v>
      </c>
      <c r="E7" s="420" t="s">
        <v>67</v>
      </c>
      <c r="F7" s="420" t="s">
        <v>66</v>
      </c>
      <c r="G7" s="420" t="s">
        <v>67</v>
      </c>
      <c r="H7" s="420" t="s">
        <v>66</v>
      </c>
      <c r="I7" s="420" t="s">
        <v>67</v>
      </c>
    </row>
    <row r="8" spans="2:12">
      <c r="B8" s="330" t="s">
        <v>23</v>
      </c>
      <c r="C8" s="330" t="s">
        <v>24</v>
      </c>
      <c r="D8" s="330">
        <v>1</v>
      </c>
      <c r="E8" s="330">
        <v>2</v>
      </c>
      <c r="F8" s="330">
        <v>3</v>
      </c>
      <c r="G8" s="330">
        <v>4</v>
      </c>
      <c r="H8" s="330" t="s">
        <v>68</v>
      </c>
      <c r="I8" s="330" t="s">
        <v>69</v>
      </c>
    </row>
    <row r="9" spans="2:12" ht="34.5" customHeight="1">
      <c r="B9" s="331"/>
      <c r="C9" s="332" t="s">
        <v>70</v>
      </c>
      <c r="D9" s="333">
        <f>D10+D72+D74+D75</f>
        <v>3505000</v>
      </c>
      <c r="E9" s="333">
        <f>E10+E72+E74+E75</f>
        <v>2993150</v>
      </c>
      <c r="F9" s="333">
        <f>F10+F72+F74+F75</f>
        <v>5740073.027338</v>
      </c>
      <c r="G9" s="333">
        <f>G10+G72+G74+G75</f>
        <v>5211119.6173379999</v>
      </c>
      <c r="H9" s="334">
        <f>IFERROR(F9/D9,"")</f>
        <v>1.6376813202105565</v>
      </c>
      <c r="I9" s="334">
        <f>IFERROR(G9/E9,"")</f>
        <v>1.7410151904642266</v>
      </c>
      <c r="K9" s="427"/>
      <c r="L9" s="427"/>
    </row>
    <row r="10" spans="2:12" s="421" customFormat="1" ht="21" customHeight="1">
      <c r="B10" s="331" t="s">
        <v>23</v>
      </c>
      <c r="C10" s="332" t="s">
        <v>71</v>
      </c>
      <c r="D10" s="333">
        <f>D11+D64+D63+D71</f>
        <v>3505000</v>
      </c>
      <c r="E10" s="333">
        <f>E11+E64+E63+E71</f>
        <v>2993150</v>
      </c>
      <c r="F10" s="333">
        <f>F11+F64+F63+F71</f>
        <v>3031646.4154499997</v>
      </c>
      <c r="G10" s="333">
        <f>G11+G64+G63+G71</f>
        <v>2502693.0054499996</v>
      </c>
      <c r="H10" s="334">
        <f t="shared" ref="H10:I75" si="0">IFERROR(F10/D10,"")</f>
        <v>0.86494904863052779</v>
      </c>
      <c r="I10" s="334">
        <f t="shared" si="0"/>
        <v>0.83614018858059225</v>
      </c>
      <c r="K10" s="428"/>
      <c r="L10" s="428"/>
    </row>
    <row r="11" spans="2:12" s="421" customFormat="1" ht="19.5" customHeight="1">
      <c r="B11" s="331" t="s">
        <v>28</v>
      </c>
      <c r="C11" s="332" t="s">
        <v>0</v>
      </c>
      <c r="D11" s="333">
        <f>D12+D18+D24+D27+D34+D35+D38+D39+D44+D45+D46+D47+D48+D49+D51+D52+D53+D54+D57</f>
        <v>3235000</v>
      </c>
      <c r="E11" s="333">
        <f>E12+E18+E24+E27+E34+E35+E38+E39+E44+E45+E46+E47+E48+E49+E51+E52+E53+E54+E57</f>
        <v>2993150</v>
      </c>
      <c r="F11" s="333">
        <f>F12+F18+F24+F27+F34+F35+F38+F39+F44+F45+F46+F47+F48+F49+F51+F52+F53+F54+F57</f>
        <v>2759970.3054499999</v>
      </c>
      <c r="G11" s="333">
        <f>G12+1.3+G18+G24+G27+G34+G35+G38+G39+G44+G45+G46+G47+G48+G49+G51+G52+G53+G54+G57</f>
        <v>2502667.6054499997</v>
      </c>
      <c r="H11" s="334">
        <f t="shared" si="0"/>
        <v>0.85315929071097374</v>
      </c>
      <c r="I11" s="334">
        <f t="shared" si="0"/>
        <v>0.83613170253746039</v>
      </c>
    </row>
    <row r="12" spans="2:12" s="421" customFormat="1" ht="24" customHeight="1">
      <c r="B12" s="331">
        <v>1</v>
      </c>
      <c r="C12" s="332" t="s">
        <v>72</v>
      </c>
      <c r="D12" s="333">
        <f>D13+D14+D15</f>
        <v>717200</v>
      </c>
      <c r="E12" s="333">
        <f>E13+E14+E15</f>
        <v>717200</v>
      </c>
      <c r="F12" s="333">
        <f t="shared" ref="F12:G12" si="1">F13+F14+F15</f>
        <v>618739.67592999991</v>
      </c>
      <c r="G12" s="333">
        <f t="shared" si="1"/>
        <v>618739.67592999991</v>
      </c>
      <c r="H12" s="334">
        <f t="shared" si="0"/>
        <v>0.86271566638315655</v>
      </c>
      <c r="I12" s="334">
        <f t="shared" si="0"/>
        <v>0.86271566638315655</v>
      </c>
      <c r="L12" s="429"/>
    </row>
    <row r="13" spans="2:12" ht="18" customHeight="1">
      <c r="B13" s="335" t="s">
        <v>191</v>
      </c>
      <c r="C13" s="336" t="s">
        <v>195</v>
      </c>
      <c r="D13" s="337">
        <v>310200</v>
      </c>
      <c r="E13" s="337">
        <f>D13</f>
        <v>310200</v>
      </c>
      <c r="F13" s="337">
        <v>269678.99388199998</v>
      </c>
      <c r="G13" s="337">
        <f>F13</f>
        <v>269678.99388199998</v>
      </c>
      <c r="H13" s="338">
        <f t="shared" si="0"/>
        <v>0.8693713535847839</v>
      </c>
      <c r="I13" s="338">
        <f t="shared" si="0"/>
        <v>0.8693713535847839</v>
      </c>
      <c r="L13" s="422" t="s">
        <v>1033</v>
      </c>
    </row>
    <row r="14" spans="2:12" ht="19.5" customHeight="1">
      <c r="B14" s="335" t="s">
        <v>192</v>
      </c>
      <c r="C14" s="336" t="s">
        <v>196</v>
      </c>
      <c r="D14" s="337">
        <v>5000</v>
      </c>
      <c r="E14" s="337">
        <f t="shared" ref="E14:E17" si="2">D14</f>
        <v>5000</v>
      </c>
      <c r="F14" s="337">
        <v>18225.937935999998</v>
      </c>
      <c r="G14" s="337">
        <f t="shared" ref="G14:G15" si="3">F14</f>
        <v>18225.937935999998</v>
      </c>
      <c r="H14" s="338">
        <f t="shared" si="0"/>
        <v>3.6451875871999997</v>
      </c>
      <c r="I14" s="338">
        <f t="shared" si="0"/>
        <v>3.6451875871999997</v>
      </c>
    </row>
    <row r="15" spans="2:12" ht="19.5" customHeight="1">
      <c r="B15" s="335" t="s">
        <v>193</v>
      </c>
      <c r="C15" s="336" t="s">
        <v>197</v>
      </c>
      <c r="D15" s="337">
        <v>402000</v>
      </c>
      <c r="E15" s="337">
        <f t="shared" si="2"/>
        <v>402000</v>
      </c>
      <c r="F15" s="337">
        <v>330834.74411199999</v>
      </c>
      <c r="G15" s="337">
        <f t="shared" si="3"/>
        <v>330834.74411199999</v>
      </c>
      <c r="H15" s="338">
        <f t="shared" si="0"/>
        <v>0.82297200027860695</v>
      </c>
      <c r="I15" s="338">
        <f t="shared" si="0"/>
        <v>0.82297200027860695</v>
      </c>
    </row>
    <row r="16" spans="2:12" ht="19.5" customHeight="1">
      <c r="B16" s="339" t="s">
        <v>194</v>
      </c>
      <c r="C16" s="336" t="s">
        <v>198</v>
      </c>
      <c r="D16" s="337">
        <v>401000</v>
      </c>
      <c r="E16" s="337">
        <f t="shared" si="2"/>
        <v>401000</v>
      </c>
      <c r="F16" s="337"/>
      <c r="G16" s="337"/>
      <c r="H16" s="338">
        <f t="shared" si="0"/>
        <v>0</v>
      </c>
      <c r="I16" s="338">
        <f t="shared" si="0"/>
        <v>0</v>
      </c>
    </row>
    <row r="17" spans="2:9" ht="16.5" customHeight="1">
      <c r="B17" s="339" t="s">
        <v>194</v>
      </c>
      <c r="C17" s="336" t="s">
        <v>199</v>
      </c>
      <c r="D17" s="337">
        <v>1000</v>
      </c>
      <c r="E17" s="337">
        <f t="shared" si="2"/>
        <v>1000</v>
      </c>
      <c r="F17" s="337"/>
      <c r="G17" s="337"/>
      <c r="H17" s="338">
        <f t="shared" si="0"/>
        <v>0</v>
      </c>
      <c r="I17" s="338">
        <f t="shared" si="0"/>
        <v>0</v>
      </c>
    </row>
    <row r="18" spans="2:9" ht="19.5" customHeight="1">
      <c r="B18" s="331">
        <v>2</v>
      </c>
      <c r="C18" s="332" t="s">
        <v>74</v>
      </c>
      <c r="D18" s="333">
        <f>D19+D20+D21</f>
        <v>26000</v>
      </c>
      <c r="E18" s="333">
        <f>E19+E20+E21</f>
        <v>26000</v>
      </c>
      <c r="F18" s="333">
        <f t="shared" ref="F18:G18" si="4">F19+F20+F21</f>
        <v>36999.031671000004</v>
      </c>
      <c r="G18" s="333">
        <f t="shared" si="4"/>
        <v>36999.031671000004</v>
      </c>
      <c r="H18" s="334">
        <f t="shared" si="0"/>
        <v>1.4230396796538463</v>
      </c>
      <c r="I18" s="334">
        <f t="shared" si="0"/>
        <v>1.4230396796538463</v>
      </c>
    </row>
    <row r="19" spans="2:9">
      <c r="B19" s="335" t="s">
        <v>200</v>
      </c>
      <c r="C19" s="336" t="s">
        <v>195</v>
      </c>
      <c r="D19" s="337">
        <v>18000</v>
      </c>
      <c r="E19" s="337">
        <f>D19</f>
        <v>18000</v>
      </c>
      <c r="F19" s="337">
        <v>26787.948428</v>
      </c>
      <c r="G19" s="337">
        <f>F19</f>
        <v>26787.948428</v>
      </c>
      <c r="H19" s="338">
        <f t="shared" si="0"/>
        <v>1.4882193571111111</v>
      </c>
      <c r="I19" s="338">
        <f t="shared" si="0"/>
        <v>1.4882193571111111</v>
      </c>
    </row>
    <row r="20" spans="2:9">
      <c r="B20" s="335" t="s">
        <v>201</v>
      </c>
      <c r="C20" s="336" t="s">
        <v>196</v>
      </c>
      <c r="D20" s="337">
        <v>7000</v>
      </c>
      <c r="E20" s="337">
        <f t="shared" ref="E20:E23" si="5">D20</f>
        <v>7000</v>
      </c>
      <c r="F20" s="337">
        <v>8230.4016059999994</v>
      </c>
      <c r="G20" s="337">
        <f t="shared" ref="G20:G21" si="6">F20</f>
        <v>8230.4016059999994</v>
      </c>
      <c r="H20" s="338">
        <f t="shared" si="0"/>
        <v>1.1757716579999999</v>
      </c>
      <c r="I20" s="338">
        <f t="shared" si="0"/>
        <v>1.1757716579999999</v>
      </c>
    </row>
    <row r="21" spans="2:9">
      <c r="B21" s="335" t="s">
        <v>202</v>
      </c>
      <c r="C21" s="336" t="s">
        <v>197</v>
      </c>
      <c r="D21" s="337">
        <v>1000</v>
      </c>
      <c r="E21" s="337">
        <f t="shared" si="5"/>
        <v>1000</v>
      </c>
      <c r="F21" s="337">
        <v>1980.6816369999999</v>
      </c>
      <c r="G21" s="337">
        <f t="shared" si="6"/>
        <v>1980.6816369999999</v>
      </c>
      <c r="H21" s="338">
        <f t="shared" si="0"/>
        <v>1.980681637</v>
      </c>
      <c r="I21" s="338">
        <f t="shared" si="0"/>
        <v>1.980681637</v>
      </c>
    </row>
    <row r="22" spans="2:9">
      <c r="B22" s="339" t="s">
        <v>194</v>
      </c>
      <c r="C22" s="336" t="s">
        <v>203</v>
      </c>
      <c r="D22" s="337">
        <v>610</v>
      </c>
      <c r="E22" s="337">
        <f t="shared" si="5"/>
        <v>610</v>
      </c>
      <c r="F22" s="337"/>
      <c r="G22" s="337"/>
      <c r="H22" s="338">
        <f t="shared" si="0"/>
        <v>0</v>
      </c>
      <c r="I22" s="338">
        <f t="shared" si="0"/>
        <v>0</v>
      </c>
    </row>
    <row r="23" spans="2:9">
      <c r="B23" s="339" t="s">
        <v>194</v>
      </c>
      <c r="C23" s="336" t="s">
        <v>199</v>
      </c>
      <c r="D23" s="337">
        <v>390</v>
      </c>
      <c r="E23" s="337">
        <f t="shared" si="5"/>
        <v>390</v>
      </c>
      <c r="F23" s="337"/>
      <c r="G23" s="337"/>
      <c r="H23" s="338">
        <f t="shared" si="0"/>
        <v>0</v>
      </c>
      <c r="I23" s="338">
        <f t="shared" si="0"/>
        <v>0</v>
      </c>
    </row>
    <row r="24" spans="2:9">
      <c r="B24" s="331">
        <v>3</v>
      </c>
      <c r="C24" s="332" t="s">
        <v>75</v>
      </c>
      <c r="D24" s="333">
        <f>D25+D26</f>
        <v>4000</v>
      </c>
      <c r="E24" s="333">
        <f>E25+E26</f>
        <v>4000</v>
      </c>
      <c r="F24" s="333">
        <f t="shared" ref="F24:G24" si="7">F25+F26</f>
        <v>7768.5188360000002</v>
      </c>
      <c r="G24" s="333">
        <f t="shared" si="7"/>
        <v>7768.5188360000002</v>
      </c>
      <c r="H24" s="334">
        <f t="shared" si="0"/>
        <v>1.942129709</v>
      </c>
      <c r="I24" s="334">
        <f t="shared" si="0"/>
        <v>1.942129709</v>
      </c>
    </row>
    <row r="25" spans="2:9">
      <c r="B25" s="335" t="s">
        <v>205</v>
      </c>
      <c r="C25" s="336" t="s">
        <v>195</v>
      </c>
      <c r="D25" s="337">
        <v>2000</v>
      </c>
      <c r="E25" s="337">
        <f>D25</f>
        <v>2000</v>
      </c>
      <c r="F25" s="337">
        <v>3621.1057430000001</v>
      </c>
      <c r="G25" s="337">
        <f>F25</f>
        <v>3621.1057430000001</v>
      </c>
      <c r="H25" s="338">
        <f t="shared" si="0"/>
        <v>1.8105528715000001</v>
      </c>
      <c r="I25" s="338">
        <f t="shared" si="0"/>
        <v>1.8105528715000001</v>
      </c>
    </row>
    <row r="26" spans="2:9">
      <c r="B26" s="335" t="s">
        <v>204</v>
      </c>
      <c r="C26" s="336" t="s">
        <v>196</v>
      </c>
      <c r="D26" s="337">
        <v>2000</v>
      </c>
      <c r="E26" s="337">
        <f>D26</f>
        <v>2000</v>
      </c>
      <c r="F26" s="337">
        <v>4147.4130930000001</v>
      </c>
      <c r="G26" s="337">
        <f>F26</f>
        <v>4147.4130930000001</v>
      </c>
      <c r="H26" s="338">
        <f t="shared" si="0"/>
        <v>2.0737065465</v>
      </c>
      <c r="I26" s="338">
        <f t="shared" si="0"/>
        <v>2.0737065465</v>
      </c>
    </row>
    <row r="27" spans="2:9">
      <c r="B27" s="331">
        <v>4</v>
      </c>
      <c r="C27" s="332" t="s">
        <v>76</v>
      </c>
      <c r="D27" s="333">
        <f>D28+D29+D30+D31</f>
        <v>625000</v>
      </c>
      <c r="E27" s="333">
        <f>E28+E29+E30+E31</f>
        <v>625000</v>
      </c>
      <c r="F27" s="333">
        <f t="shared" ref="F27:G27" si="8">F28+F29+F30+F31</f>
        <v>723095.18782500003</v>
      </c>
      <c r="G27" s="333">
        <f t="shared" si="8"/>
        <v>723095.18782500003</v>
      </c>
      <c r="H27" s="334">
        <f t="shared" si="0"/>
        <v>1.15695230052</v>
      </c>
      <c r="I27" s="334">
        <f t="shared" si="0"/>
        <v>1.15695230052</v>
      </c>
    </row>
    <row r="28" spans="2:9">
      <c r="B28" s="335" t="s">
        <v>206</v>
      </c>
      <c r="C28" s="336" t="s">
        <v>195</v>
      </c>
      <c r="D28" s="337">
        <v>450000</v>
      </c>
      <c r="E28" s="337">
        <f>D28</f>
        <v>450000</v>
      </c>
      <c r="F28" s="337">
        <v>573848.19075800001</v>
      </c>
      <c r="G28" s="337">
        <f>F28</f>
        <v>573848.19075800001</v>
      </c>
      <c r="H28" s="338">
        <f t="shared" si="0"/>
        <v>1.2752182016844444</v>
      </c>
      <c r="I28" s="338">
        <f t="shared" si="0"/>
        <v>1.2752182016844444</v>
      </c>
    </row>
    <row r="29" spans="2:9">
      <c r="B29" s="335" t="s">
        <v>207</v>
      </c>
      <c r="C29" s="336" t="s">
        <v>196</v>
      </c>
      <c r="D29" s="337">
        <v>29000</v>
      </c>
      <c r="E29" s="337">
        <f t="shared" ref="E29:E33" si="9">D29</f>
        <v>29000</v>
      </c>
      <c r="F29" s="337">
        <v>35187.696494000003</v>
      </c>
      <c r="G29" s="337">
        <f t="shared" ref="G29:G33" si="10">F29</f>
        <v>35187.696494000003</v>
      </c>
      <c r="H29" s="338">
        <f t="shared" si="0"/>
        <v>1.2133688446206898</v>
      </c>
      <c r="I29" s="338">
        <f t="shared" si="0"/>
        <v>1.2133688446206898</v>
      </c>
    </row>
    <row r="30" spans="2:9">
      <c r="B30" s="335" t="s">
        <v>208</v>
      </c>
      <c r="C30" s="336" t="s">
        <v>209</v>
      </c>
      <c r="D30" s="337">
        <v>2600</v>
      </c>
      <c r="E30" s="337">
        <f t="shared" si="9"/>
        <v>2600</v>
      </c>
      <c r="F30" s="337">
        <v>3811.2574490000002</v>
      </c>
      <c r="G30" s="337">
        <f t="shared" si="10"/>
        <v>3811.2574490000002</v>
      </c>
      <c r="H30" s="338">
        <f t="shared" si="0"/>
        <v>1.4658682496153848</v>
      </c>
      <c r="I30" s="338">
        <f t="shared" si="0"/>
        <v>1.4658682496153848</v>
      </c>
    </row>
    <row r="31" spans="2:9">
      <c r="B31" s="335" t="s">
        <v>210</v>
      </c>
      <c r="C31" s="336" t="s">
        <v>197</v>
      </c>
      <c r="D31" s="337">
        <v>143400</v>
      </c>
      <c r="E31" s="337">
        <f t="shared" si="9"/>
        <v>143400</v>
      </c>
      <c r="F31" s="337">
        <v>110248.043124</v>
      </c>
      <c r="G31" s="337">
        <f t="shared" si="10"/>
        <v>110248.043124</v>
      </c>
      <c r="H31" s="338">
        <f t="shared" si="0"/>
        <v>0.76881480560669457</v>
      </c>
      <c r="I31" s="338">
        <f t="shared" si="0"/>
        <v>0.76881480560669457</v>
      </c>
    </row>
    <row r="32" spans="2:9">
      <c r="B32" s="339" t="s">
        <v>194</v>
      </c>
      <c r="C32" s="336" t="s">
        <v>198</v>
      </c>
      <c r="D32" s="337">
        <v>130305</v>
      </c>
      <c r="E32" s="337">
        <f t="shared" si="9"/>
        <v>130305</v>
      </c>
      <c r="F32" s="337"/>
      <c r="G32" s="337">
        <f t="shared" si="10"/>
        <v>0</v>
      </c>
      <c r="H32" s="338">
        <f t="shared" si="0"/>
        <v>0</v>
      </c>
      <c r="I32" s="338">
        <f t="shared" si="0"/>
        <v>0</v>
      </c>
    </row>
    <row r="33" spans="2:9">
      <c r="B33" s="339" t="s">
        <v>194</v>
      </c>
      <c r="C33" s="336" t="s">
        <v>199</v>
      </c>
      <c r="D33" s="337">
        <v>13095</v>
      </c>
      <c r="E33" s="337">
        <f t="shared" si="9"/>
        <v>13095</v>
      </c>
      <c r="F33" s="337"/>
      <c r="G33" s="337">
        <f t="shared" si="10"/>
        <v>0</v>
      </c>
      <c r="H33" s="338">
        <f t="shared" si="0"/>
        <v>0</v>
      </c>
      <c r="I33" s="338">
        <f t="shared" si="0"/>
        <v>0</v>
      </c>
    </row>
    <row r="34" spans="2:9">
      <c r="B34" s="331">
        <v>5</v>
      </c>
      <c r="C34" s="332" t="s">
        <v>77</v>
      </c>
      <c r="D34" s="333">
        <v>111000</v>
      </c>
      <c r="E34" s="333">
        <f>D34</f>
        <v>111000</v>
      </c>
      <c r="F34" s="333">
        <v>90035.091187999991</v>
      </c>
      <c r="G34" s="333">
        <f>F34</f>
        <v>90035.091187999991</v>
      </c>
      <c r="H34" s="334">
        <f t="shared" si="0"/>
        <v>0.81112694763963955</v>
      </c>
      <c r="I34" s="334">
        <f t="shared" si="0"/>
        <v>0.81112694763963955</v>
      </c>
    </row>
    <row r="35" spans="2:9">
      <c r="B35" s="331">
        <v>6</v>
      </c>
      <c r="C35" s="332" t="s">
        <v>78</v>
      </c>
      <c r="D35" s="333">
        <f>D36+D37</f>
        <v>260000</v>
      </c>
      <c r="E35" s="333">
        <f>E36+E37</f>
        <v>97000</v>
      </c>
      <c r="F35" s="333">
        <v>265136</v>
      </c>
      <c r="G35" s="333">
        <v>98630</v>
      </c>
      <c r="H35" s="334">
        <f t="shared" si="0"/>
        <v>1.0197538461538462</v>
      </c>
      <c r="I35" s="334">
        <f t="shared" si="0"/>
        <v>1.0168041237113401</v>
      </c>
    </row>
    <row r="36" spans="2:9" s="430" customFormat="1" ht="27.75" customHeight="1">
      <c r="B36" s="340" t="s">
        <v>30</v>
      </c>
      <c r="C36" s="341" t="s">
        <v>1057</v>
      </c>
      <c r="D36" s="342">
        <v>97000</v>
      </c>
      <c r="E36" s="342">
        <f>D36</f>
        <v>97000</v>
      </c>
      <c r="F36" s="342">
        <v>75701</v>
      </c>
      <c r="G36" s="342">
        <v>75107</v>
      </c>
      <c r="H36" s="343">
        <f t="shared" si="0"/>
        <v>0.78042268041237117</v>
      </c>
      <c r="I36" s="343">
        <f t="shared" si="0"/>
        <v>0.774298969072165</v>
      </c>
    </row>
    <row r="37" spans="2:9" s="430" customFormat="1">
      <c r="B37" s="340" t="s">
        <v>30</v>
      </c>
      <c r="C37" s="341" t="s">
        <v>1058</v>
      </c>
      <c r="D37" s="342">
        <v>163000</v>
      </c>
      <c r="E37" s="342"/>
      <c r="F37" s="342">
        <v>126795</v>
      </c>
      <c r="G37" s="342"/>
      <c r="H37" s="343">
        <f t="shared" si="0"/>
        <v>0.77788343558282214</v>
      </c>
      <c r="I37" s="343" t="str">
        <f t="shared" si="0"/>
        <v/>
      </c>
    </row>
    <row r="38" spans="2:9">
      <c r="B38" s="331">
        <v>7</v>
      </c>
      <c r="C38" s="332" t="s">
        <v>79</v>
      </c>
      <c r="D38" s="333">
        <v>86000</v>
      </c>
      <c r="E38" s="333">
        <f>D38</f>
        <v>86000</v>
      </c>
      <c r="F38" s="333">
        <v>87863</v>
      </c>
      <c r="G38" s="333">
        <f>F38</f>
        <v>87863</v>
      </c>
      <c r="H38" s="334">
        <f t="shared" si="0"/>
        <v>1.0216627906976745</v>
      </c>
      <c r="I38" s="334">
        <f t="shared" si="0"/>
        <v>1.0216627906976745</v>
      </c>
    </row>
    <row r="39" spans="2:9">
      <c r="B39" s="331">
        <v>8</v>
      </c>
      <c r="C39" s="332" t="s">
        <v>80</v>
      </c>
      <c r="D39" s="333">
        <f>SUM(D40:D43)</f>
        <v>50000</v>
      </c>
      <c r="E39" s="333">
        <f>SUM(E40:E43)</f>
        <v>45000</v>
      </c>
      <c r="F39" s="333">
        <f t="shared" ref="F39" si="11">SUM(F40:F43)</f>
        <v>52632.800000000003</v>
      </c>
      <c r="G39" s="333">
        <f>SUM(G40:G43)</f>
        <v>42369.8</v>
      </c>
      <c r="H39" s="334">
        <f t="shared" si="0"/>
        <v>1.052656</v>
      </c>
      <c r="I39" s="334">
        <f t="shared" si="0"/>
        <v>0.94155111111111123</v>
      </c>
    </row>
    <row r="40" spans="2:9" s="430" customFormat="1">
      <c r="B40" s="340" t="s">
        <v>30</v>
      </c>
      <c r="C40" s="341" t="s">
        <v>81</v>
      </c>
      <c r="D40" s="342">
        <v>5000</v>
      </c>
      <c r="E40" s="342"/>
      <c r="F40" s="342">
        <v>10562</v>
      </c>
      <c r="G40" s="342">
        <v>299</v>
      </c>
      <c r="H40" s="343">
        <f t="shared" si="0"/>
        <v>2.1124000000000001</v>
      </c>
      <c r="I40" s="343" t="str">
        <f t="shared" si="0"/>
        <v/>
      </c>
    </row>
    <row r="41" spans="2:9" s="430" customFormat="1">
      <c r="B41" s="340" t="s">
        <v>30</v>
      </c>
      <c r="C41" s="341" t="s">
        <v>82</v>
      </c>
      <c r="D41" s="342">
        <v>18905</v>
      </c>
      <c r="E41" s="342">
        <f>D41</f>
        <v>18905</v>
      </c>
      <c r="F41" s="342">
        <v>25754.400000000001</v>
      </c>
      <c r="G41" s="342">
        <f>F41</f>
        <v>25754.400000000001</v>
      </c>
      <c r="H41" s="343">
        <f t="shared" si="0"/>
        <v>1.3623062681830205</v>
      </c>
      <c r="I41" s="343">
        <f t="shared" si="0"/>
        <v>1.3623062681830205</v>
      </c>
    </row>
    <row r="42" spans="2:9" s="430" customFormat="1">
      <c r="B42" s="340" t="s">
        <v>30</v>
      </c>
      <c r="C42" s="341" t="s">
        <v>83</v>
      </c>
      <c r="D42" s="342">
        <v>26095</v>
      </c>
      <c r="E42" s="342">
        <f>D42</f>
        <v>26095</v>
      </c>
      <c r="F42" s="342">
        <v>12673</v>
      </c>
      <c r="G42" s="342">
        <f t="shared" ref="G42:G49" si="12">F42</f>
        <v>12673</v>
      </c>
      <c r="H42" s="343">
        <f t="shared" si="0"/>
        <v>0.48564859168423069</v>
      </c>
      <c r="I42" s="343">
        <f t="shared" si="0"/>
        <v>0.48564859168423069</v>
      </c>
    </row>
    <row r="43" spans="2:9" s="430" customFormat="1">
      <c r="B43" s="340" t="s">
        <v>30</v>
      </c>
      <c r="C43" s="341" t="s">
        <v>84</v>
      </c>
      <c r="D43" s="342"/>
      <c r="E43" s="342"/>
      <c r="F43" s="342">
        <v>3643.4</v>
      </c>
      <c r="G43" s="342">
        <f t="shared" si="12"/>
        <v>3643.4</v>
      </c>
      <c r="H43" s="343" t="str">
        <f t="shared" si="0"/>
        <v/>
      </c>
      <c r="I43" s="343" t="str">
        <f t="shared" si="0"/>
        <v/>
      </c>
    </row>
    <row r="44" spans="2:9">
      <c r="B44" s="331">
        <v>9</v>
      </c>
      <c r="C44" s="332" t="s">
        <v>85</v>
      </c>
      <c r="D44" s="333">
        <v>200</v>
      </c>
      <c r="E44" s="333">
        <f>D44</f>
        <v>200</v>
      </c>
      <c r="F44" s="333">
        <v>417</v>
      </c>
      <c r="G44" s="333">
        <f t="shared" si="12"/>
        <v>417</v>
      </c>
      <c r="H44" s="334">
        <f t="shared" si="0"/>
        <v>2.085</v>
      </c>
      <c r="I44" s="334">
        <f t="shared" si="0"/>
        <v>2.085</v>
      </c>
    </row>
    <row r="45" spans="2:9">
      <c r="B45" s="331">
        <v>10</v>
      </c>
      <c r="C45" s="332" t="s">
        <v>86</v>
      </c>
      <c r="D45" s="333">
        <v>3600</v>
      </c>
      <c r="E45" s="333">
        <f>D45</f>
        <v>3600</v>
      </c>
      <c r="F45" s="333">
        <v>3175</v>
      </c>
      <c r="G45" s="333">
        <f t="shared" si="12"/>
        <v>3175</v>
      </c>
      <c r="H45" s="334">
        <f t="shared" si="0"/>
        <v>0.88194444444444442</v>
      </c>
      <c r="I45" s="334">
        <f t="shared" si="0"/>
        <v>0.88194444444444442</v>
      </c>
    </row>
    <row r="46" spans="2:9">
      <c r="B46" s="331">
        <v>11</v>
      </c>
      <c r="C46" s="332" t="s">
        <v>87</v>
      </c>
      <c r="D46" s="333">
        <v>20000</v>
      </c>
      <c r="E46" s="333">
        <f>D46</f>
        <v>20000</v>
      </c>
      <c r="F46" s="333">
        <f>85740-F60</f>
        <v>69646</v>
      </c>
      <c r="G46" s="333">
        <f>F46</f>
        <v>69646</v>
      </c>
      <c r="H46" s="334">
        <f t="shared" si="0"/>
        <v>3.4823</v>
      </c>
      <c r="I46" s="334">
        <f t="shared" si="0"/>
        <v>3.4823</v>
      </c>
    </row>
    <row r="47" spans="2:9">
      <c r="B47" s="331">
        <v>12</v>
      </c>
      <c r="C47" s="332" t="s">
        <v>88</v>
      </c>
      <c r="D47" s="333">
        <v>200000</v>
      </c>
      <c r="E47" s="333">
        <f>D47</f>
        <v>200000</v>
      </c>
      <c r="F47" s="333">
        <f>516113-F59-F61</f>
        <v>279649</v>
      </c>
      <c r="G47" s="333">
        <f>F47</f>
        <v>279649</v>
      </c>
      <c r="H47" s="334">
        <f t="shared" si="0"/>
        <v>1.398245</v>
      </c>
      <c r="I47" s="334">
        <f t="shared" si="0"/>
        <v>1.398245</v>
      </c>
    </row>
    <row r="48" spans="2:9" ht="17.25" customHeight="1">
      <c r="B48" s="331">
        <v>13</v>
      </c>
      <c r="C48" s="332" t="s">
        <v>89</v>
      </c>
      <c r="D48" s="333"/>
      <c r="E48" s="333"/>
      <c r="F48" s="333">
        <v>332</v>
      </c>
      <c r="G48" s="333">
        <f t="shared" si="12"/>
        <v>332</v>
      </c>
      <c r="H48" s="334" t="str">
        <f t="shared" si="0"/>
        <v/>
      </c>
      <c r="I48" s="334" t="str">
        <f t="shared" si="0"/>
        <v/>
      </c>
    </row>
    <row r="49" spans="2:12">
      <c r="B49" s="331">
        <v>14</v>
      </c>
      <c r="C49" s="332" t="s">
        <v>90</v>
      </c>
      <c r="D49" s="333">
        <v>85000</v>
      </c>
      <c r="E49" s="333">
        <f>D49</f>
        <v>85000</v>
      </c>
      <c r="F49" s="333">
        <v>88008</v>
      </c>
      <c r="G49" s="333">
        <f t="shared" si="12"/>
        <v>88008</v>
      </c>
      <c r="H49" s="334">
        <f t="shared" si="0"/>
        <v>1.0353882352941177</v>
      </c>
      <c r="I49" s="334">
        <f t="shared" si="0"/>
        <v>1.0353882352941177</v>
      </c>
    </row>
    <row r="50" spans="2:12" hidden="1">
      <c r="B50" s="332"/>
      <c r="C50" s="332" t="s">
        <v>73</v>
      </c>
      <c r="D50" s="344"/>
      <c r="E50" s="344"/>
      <c r="F50" s="344"/>
      <c r="G50" s="344"/>
      <c r="H50" s="334" t="str">
        <f t="shared" si="0"/>
        <v/>
      </c>
      <c r="I50" s="334" t="str">
        <f t="shared" si="0"/>
        <v/>
      </c>
    </row>
    <row r="51" spans="2:12" ht="15.75" customHeight="1">
      <c r="B51" s="331">
        <v>15</v>
      </c>
      <c r="C51" s="332" t="s">
        <v>91</v>
      </c>
      <c r="D51" s="333">
        <v>85000</v>
      </c>
      <c r="E51" s="333">
        <v>32150</v>
      </c>
      <c r="F51" s="333">
        <v>83232</v>
      </c>
      <c r="G51" s="333">
        <v>32909</v>
      </c>
      <c r="H51" s="334">
        <f t="shared" si="0"/>
        <v>0.97919999999999996</v>
      </c>
      <c r="I51" s="334">
        <f t="shared" si="0"/>
        <v>1.0236080870917574</v>
      </c>
    </row>
    <row r="52" spans="2:12">
      <c r="B52" s="331">
        <v>16</v>
      </c>
      <c r="C52" s="332" t="s">
        <v>92</v>
      </c>
      <c r="D52" s="333">
        <v>60000</v>
      </c>
      <c r="E52" s="333">
        <v>39000</v>
      </c>
      <c r="F52" s="333">
        <f>97284-F62</f>
        <v>96599</v>
      </c>
      <c r="G52" s="333">
        <f>67072-G62</f>
        <v>66387</v>
      </c>
      <c r="H52" s="334">
        <f t="shared" si="0"/>
        <v>1.6099833333333333</v>
      </c>
      <c r="I52" s="334">
        <f t="shared" si="0"/>
        <v>1.7022307692307692</v>
      </c>
    </row>
    <row r="53" spans="2:12" ht="16.5" customHeight="1">
      <c r="B53" s="331">
        <v>17</v>
      </c>
      <c r="C53" s="332" t="s">
        <v>93</v>
      </c>
      <c r="D53" s="333">
        <v>2000</v>
      </c>
      <c r="E53" s="333">
        <f>D53</f>
        <v>2000</v>
      </c>
      <c r="F53" s="333">
        <v>1475</v>
      </c>
      <c r="G53" s="333">
        <f>F53</f>
        <v>1475</v>
      </c>
      <c r="H53" s="334">
        <f t="shared" si="0"/>
        <v>0.73750000000000004</v>
      </c>
      <c r="I53" s="334">
        <f t="shared" si="0"/>
        <v>0.73750000000000004</v>
      </c>
    </row>
    <row r="54" spans="2:12">
      <c r="B54" s="331">
        <v>18</v>
      </c>
      <c r="C54" s="332" t="s">
        <v>94</v>
      </c>
      <c r="D54" s="333">
        <v>2000</v>
      </c>
      <c r="E54" s="333">
        <f>D54</f>
        <v>2000</v>
      </c>
      <c r="F54" s="333">
        <v>1925</v>
      </c>
      <c r="G54" s="333">
        <f>F54</f>
        <v>1925</v>
      </c>
      <c r="H54" s="334">
        <f t="shared" si="0"/>
        <v>0.96250000000000002</v>
      </c>
      <c r="I54" s="334">
        <f t="shared" si="0"/>
        <v>0.96250000000000002</v>
      </c>
    </row>
    <row r="55" spans="2:12" ht="37.5" customHeight="1">
      <c r="B55" s="331">
        <v>19</v>
      </c>
      <c r="C55" s="332" t="s">
        <v>95</v>
      </c>
      <c r="D55" s="333"/>
      <c r="E55" s="333"/>
      <c r="F55" s="333"/>
      <c r="G55" s="333"/>
      <c r="H55" s="334" t="str">
        <f t="shared" si="0"/>
        <v/>
      </c>
      <c r="I55" s="334" t="str">
        <f t="shared" si="0"/>
        <v/>
      </c>
    </row>
    <row r="56" spans="2:12" ht="20.25" customHeight="1">
      <c r="B56" s="331">
        <v>20</v>
      </c>
      <c r="C56" s="332" t="s">
        <v>96</v>
      </c>
      <c r="D56" s="333"/>
      <c r="E56" s="333"/>
      <c r="F56" s="333"/>
      <c r="G56" s="333"/>
      <c r="H56" s="334" t="str">
        <f t="shared" si="0"/>
        <v/>
      </c>
      <c r="I56" s="334" t="str">
        <f t="shared" si="0"/>
        <v/>
      </c>
    </row>
    <row r="57" spans="2:12" ht="38.25">
      <c r="B57" s="331">
        <v>21</v>
      </c>
      <c r="C57" s="332" t="s">
        <v>917</v>
      </c>
      <c r="D57" s="333">
        <v>898000</v>
      </c>
      <c r="E57" s="333">
        <f>D57</f>
        <v>898000</v>
      </c>
      <c r="F57" s="333">
        <f>F59+F61+F60+F62</f>
        <v>253243</v>
      </c>
      <c r="G57" s="333">
        <f>G59+G60+G61+G62</f>
        <v>253243</v>
      </c>
      <c r="H57" s="334">
        <f t="shared" si="0"/>
        <v>0.28200779510022272</v>
      </c>
      <c r="I57" s="334">
        <f t="shared" si="0"/>
        <v>0.28200779510022272</v>
      </c>
      <c r="K57" s="431"/>
      <c r="L57" s="432"/>
    </row>
    <row r="58" spans="2:12" s="430" customFormat="1" hidden="1" outlineLevel="1">
      <c r="B58" s="340" t="s">
        <v>964</v>
      </c>
      <c r="C58" s="341" t="s">
        <v>125</v>
      </c>
      <c r="D58" s="342"/>
      <c r="E58" s="342"/>
      <c r="F58" s="342"/>
      <c r="G58" s="342"/>
      <c r="H58" s="343"/>
      <c r="I58" s="343"/>
    </row>
    <row r="59" spans="2:12" s="430" customFormat="1" ht="25.5" hidden="1" outlineLevel="1">
      <c r="B59" s="345" t="s">
        <v>30</v>
      </c>
      <c r="C59" s="341" t="s">
        <v>1034</v>
      </c>
      <c r="D59" s="342"/>
      <c r="E59" s="342"/>
      <c r="F59" s="342">
        <v>48627</v>
      </c>
      <c r="G59" s="342">
        <f>F59</f>
        <v>48627</v>
      </c>
      <c r="H59" s="343"/>
      <c r="I59" s="343"/>
    </row>
    <row r="60" spans="2:12" ht="25.5" hidden="1" outlineLevel="1">
      <c r="B60" s="346" t="s">
        <v>30</v>
      </c>
      <c r="C60" s="341" t="s">
        <v>1035</v>
      </c>
      <c r="D60" s="333"/>
      <c r="E60" s="333"/>
      <c r="F60" s="342">
        <v>16094</v>
      </c>
      <c r="G60" s="342">
        <f t="shared" ref="G60:G61" si="13">F60</f>
        <v>16094</v>
      </c>
      <c r="H60" s="334"/>
      <c r="I60" s="334"/>
    </row>
    <row r="61" spans="2:12" s="430" customFormat="1" hidden="1" outlineLevel="1">
      <c r="B61" s="345" t="s">
        <v>30</v>
      </c>
      <c r="C61" s="341" t="s">
        <v>1036</v>
      </c>
      <c r="D61" s="342"/>
      <c r="E61" s="342"/>
      <c r="F61" s="342">
        <v>187837</v>
      </c>
      <c r="G61" s="342">
        <f t="shared" si="13"/>
        <v>187837</v>
      </c>
      <c r="H61" s="343"/>
      <c r="I61" s="343"/>
    </row>
    <row r="62" spans="2:12" ht="25.5" hidden="1" outlineLevel="1">
      <c r="B62" s="331"/>
      <c r="C62" s="341" t="s">
        <v>1037</v>
      </c>
      <c r="D62" s="333"/>
      <c r="E62" s="333"/>
      <c r="F62" s="342">
        <v>685</v>
      </c>
      <c r="G62" s="342">
        <v>685</v>
      </c>
      <c r="H62" s="334"/>
      <c r="I62" s="334"/>
    </row>
    <row r="63" spans="2:12" collapsed="1">
      <c r="B63" s="331" t="s">
        <v>33</v>
      </c>
      <c r="C63" s="332" t="s">
        <v>97</v>
      </c>
      <c r="D63" s="337"/>
      <c r="E63" s="337"/>
      <c r="F63" s="337"/>
      <c r="G63" s="337"/>
      <c r="H63" s="334" t="str">
        <f t="shared" si="0"/>
        <v/>
      </c>
      <c r="I63" s="334" t="str">
        <f t="shared" si="0"/>
        <v/>
      </c>
    </row>
    <row r="64" spans="2:12">
      <c r="B64" s="331" t="s">
        <v>37</v>
      </c>
      <c r="C64" s="332" t="s">
        <v>98</v>
      </c>
      <c r="D64" s="333">
        <f>SUM(D65:D70)</f>
        <v>270000</v>
      </c>
      <c r="E64" s="333">
        <f t="shared" ref="E64:G64" si="14">SUM(E65:E70)</f>
        <v>0</v>
      </c>
      <c r="F64" s="333">
        <f t="shared" si="14"/>
        <v>271650.71000000002</v>
      </c>
      <c r="G64" s="333">
        <f t="shared" si="14"/>
        <v>0</v>
      </c>
      <c r="H64" s="334">
        <f t="shared" si="0"/>
        <v>1.0061137407407408</v>
      </c>
      <c r="I64" s="334" t="str">
        <f t="shared" si="0"/>
        <v/>
      </c>
    </row>
    <row r="65" spans="2:9">
      <c r="B65" s="335">
        <v>1</v>
      </c>
      <c r="C65" s="336" t="s">
        <v>99</v>
      </c>
      <c r="D65" s="337">
        <v>3500</v>
      </c>
      <c r="E65" s="337"/>
      <c r="F65" s="337">
        <v>3708.7</v>
      </c>
      <c r="G65" s="337"/>
      <c r="H65" s="338">
        <f t="shared" si="0"/>
        <v>1.0596285714285714</v>
      </c>
      <c r="I65" s="338" t="str">
        <f t="shared" si="0"/>
        <v/>
      </c>
    </row>
    <row r="66" spans="2:9">
      <c r="B66" s="335">
        <v>2</v>
      </c>
      <c r="C66" s="336" t="s">
        <v>100</v>
      </c>
      <c r="D66" s="337">
        <v>4000</v>
      </c>
      <c r="E66" s="337"/>
      <c r="F66" s="337">
        <v>604.41800000000001</v>
      </c>
      <c r="G66" s="337"/>
      <c r="H66" s="338">
        <f t="shared" si="0"/>
        <v>0.1511045</v>
      </c>
      <c r="I66" s="338" t="str">
        <f t="shared" si="0"/>
        <v/>
      </c>
    </row>
    <row r="67" spans="2:9" ht="19.5" customHeight="1">
      <c r="B67" s="335">
        <v>3</v>
      </c>
      <c r="C67" s="336" t="s">
        <v>101</v>
      </c>
      <c r="D67" s="337"/>
      <c r="E67" s="337"/>
      <c r="F67" s="337">
        <v>84.614999999999995</v>
      </c>
      <c r="G67" s="337"/>
      <c r="H67" s="338" t="str">
        <f t="shared" si="0"/>
        <v/>
      </c>
      <c r="I67" s="338" t="str">
        <f t="shared" si="0"/>
        <v/>
      </c>
    </row>
    <row r="68" spans="2:9" ht="14.25" customHeight="1">
      <c r="B68" s="335">
        <v>4</v>
      </c>
      <c r="C68" s="336" t="s">
        <v>102</v>
      </c>
      <c r="D68" s="337"/>
      <c r="E68" s="337"/>
      <c r="F68" s="337">
        <v>5.76</v>
      </c>
      <c r="G68" s="337"/>
      <c r="H68" s="338" t="str">
        <f t="shared" si="0"/>
        <v/>
      </c>
      <c r="I68" s="338" t="str">
        <f t="shared" si="0"/>
        <v/>
      </c>
    </row>
    <row r="69" spans="2:9" ht="15" customHeight="1">
      <c r="B69" s="335">
        <v>5</v>
      </c>
      <c r="C69" s="336" t="s">
        <v>103</v>
      </c>
      <c r="D69" s="337">
        <v>262500</v>
      </c>
      <c r="E69" s="337"/>
      <c r="F69" s="337">
        <v>266868</v>
      </c>
      <c r="G69" s="337"/>
      <c r="H69" s="338">
        <f t="shared" si="0"/>
        <v>1.01664</v>
      </c>
      <c r="I69" s="338" t="str">
        <f t="shared" si="0"/>
        <v/>
      </c>
    </row>
    <row r="70" spans="2:9">
      <c r="B70" s="335">
        <v>6</v>
      </c>
      <c r="C70" s="336" t="s">
        <v>104</v>
      </c>
      <c r="D70" s="337"/>
      <c r="E70" s="337"/>
      <c r="F70" s="337">
        <v>379.21699999999998</v>
      </c>
      <c r="G70" s="337"/>
      <c r="H70" s="338" t="str">
        <f t="shared" si="0"/>
        <v/>
      </c>
      <c r="I70" s="338" t="str">
        <f t="shared" si="0"/>
        <v/>
      </c>
    </row>
    <row r="71" spans="2:9" s="421" customFormat="1" ht="14.25">
      <c r="B71" s="331" t="s">
        <v>39</v>
      </c>
      <c r="C71" s="332" t="s">
        <v>918</v>
      </c>
      <c r="D71" s="333"/>
      <c r="E71" s="333"/>
      <c r="F71" s="333">
        <v>25.4</v>
      </c>
      <c r="G71" s="333">
        <f>F71</f>
        <v>25.4</v>
      </c>
      <c r="H71" s="334" t="str">
        <f t="shared" si="0"/>
        <v/>
      </c>
      <c r="I71" s="334" t="str">
        <f t="shared" si="0"/>
        <v/>
      </c>
    </row>
    <row r="72" spans="2:9" ht="21" customHeight="1">
      <c r="B72" s="331" t="s">
        <v>24</v>
      </c>
      <c r="C72" s="332" t="s">
        <v>1059</v>
      </c>
      <c r="D72" s="337"/>
      <c r="E72" s="337"/>
      <c r="F72" s="333">
        <v>18271.922999999999</v>
      </c>
      <c r="G72" s="333">
        <f>F72</f>
        <v>18271.922999999999</v>
      </c>
      <c r="H72" s="334" t="str">
        <f t="shared" si="0"/>
        <v/>
      </c>
      <c r="I72" s="334" t="str">
        <f t="shared" si="0"/>
        <v/>
      </c>
    </row>
    <row r="73" spans="2:9" ht="21" customHeight="1">
      <c r="B73" s="331"/>
      <c r="C73" s="329" t="s">
        <v>1060</v>
      </c>
      <c r="D73" s="337"/>
      <c r="E73" s="337"/>
      <c r="F73" s="337">
        <v>18271.922999999999</v>
      </c>
      <c r="G73" s="337">
        <f>F73</f>
        <v>18271.922999999999</v>
      </c>
      <c r="H73" s="334"/>
      <c r="I73" s="334"/>
    </row>
    <row r="74" spans="2:9" s="421" customFormat="1" ht="14.25">
      <c r="B74" s="331" t="s">
        <v>52</v>
      </c>
      <c r="C74" s="332" t="s">
        <v>105</v>
      </c>
      <c r="D74" s="333"/>
      <c r="E74" s="333"/>
      <c r="F74" s="333">
        <v>106080.350489</v>
      </c>
      <c r="G74" s="333">
        <f>F74</f>
        <v>106080.350489</v>
      </c>
      <c r="H74" s="334" t="str">
        <f t="shared" si="0"/>
        <v/>
      </c>
      <c r="I74" s="334" t="str">
        <f t="shared" si="0"/>
        <v/>
      </c>
    </row>
    <row r="75" spans="2:9" s="421" customFormat="1" ht="28.5" customHeight="1">
      <c r="B75" s="347" t="s">
        <v>53</v>
      </c>
      <c r="C75" s="348" t="s">
        <v>106</v>
      </c>
      <c r="D75" s="349"/>
      <c r="E75" s="349"/>
      <c r="F75" s="349">
        <v>2584074.338399</v>
      </c>
      <c r="G75" s="349">
        <f>F75</f>
        <v>2584074.338399</v>
      </c>
      <c r="H75" s="350" t="str">
        <f t="shared" si="0"/>
        <v/>
      </c>
      <c r="I75" s="350" t="str">
        <f t="shared" si="0"/>
        <v/>
      </c>
    </row>
    <row r="77" spans="2:9">
      <c r="B77" s="433" t="s">
        <v>107</v>
      </c>
    </row>
    <row r="78" spans="2:9" ht="24.75" customHeight="1">
      <c r="B78" s="515" t="s">
        <v>108</v>
      </c>
      <c r="C78" s="515"/>
      <c r="D78" s="515"/>
      <c r="E78" s="515"/>
      <c r="F78" s="515"/>
      <c r="G78" s="515"/>
      <c r="H78" s="515"/>
      <c r="I78" s="515"/>
    </row>
    <row r="79" spans="2:9" ht="24.75" customHeight="1">
      <c r="B79" s="515" t="s">
        <v>109</v>
      </c>
      <c r="C79" s="515"/>
      <c r="D79" s="515"/>
      <c r="E79" s="515"/>
      <c r="F79" s="515"/>
      <c r="G79" s="515"/>
      <c r="H79" s="515"/>
      <c r="I79" s="515"/>
    </row>
    <row r="80" spans="2:9" ht="28.5" customHeight="1">
      <c r="B80" s="515" t="s">
        <v>110</v>
      </c>
      <c r="C80" s="515"/>
      <c r="D80" s="515"/>
      <c r="E80" s="515"/>
      <c r="F80" s="515"/>
      <c r="G80" s="515"/>
      <c r="H80" s="515"/>
      <c r="I80" s="515"/>
    </row>
    <row r="81" spans="2:9" ht="29.25" customHeight="1">
      <c r="B81" s="515" t="s">
        <v>111</v>
      </c>
      <c r="C81" s="515"/>
      <c r="D81" s="515"/>
      <c r="E81" s="515"/>
      <c r="F81" s="515"/>
      <c r="G81" s="515"/>
      <c r="H81" s="515"/>
      <c r="I81" s="515"/>
    </row>
    <row r="82" spans="2:9" ht="41.25" customHeight="1">
      <c r="B82" s="515" t="s">
        <v>112</v>
      </c>
      <c r="C82" s="515"/>
      <c r="D82" s="515"/>
      <c r="E82" s="515"/>
      <c r="F82" s="515"/>
      <c r="G82" s="515"/>
      <c r="H82" s="515"/>
      <c r="I82" s="515"/>
    </row>
  </sheetData>
  <mergeCells count="14">
    <mergeCell ref="H1:I1"/>
    <mergeCell ref="B80:I80"/>
    <mergeCell ref="B81:I81"/>
    <mergeCell ref="B82:I82"/>
    <mergeCell ref="H5:I5"/>
    <mergeCell ref="B2:I2"/>
    <mergeCell ref="B3:I3"/>
    <mergeCell ref="B78:I78"/>
    <mergeCell ref="B79:I79"/>
    <mergeCell ref="B6:B7"/>
    <mergeCell ref="C6:C7"/>
    <mergeCell ref="D6:E6"/>
    <mergeCell ref="F6:G6"/>
    <mergeCell ref="H6:I6"/>
  </mergeCell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I145"/>
  <sheetViews>
    <sheetView zoomScaleNormal="100" workbookViewId="0">
      <selection activeCell="E10" sqref="E10"/>
    </sheetView>
  </sheetViews>
  <sheetFormatPr defaultColWidth="9.125" defaultRowHeight="15" outlineLevelRow="1"/>
  <cols>
    <col min="1" max="1" width="4.125" style="301" customWidth="1"/>
    <col min="2" max="2" width="7.875" style="301" customWidth="1"/>
    <col min="3" max="3" width="50" style="301" customWidth="1"/>
    <col min="4" max="4" width="13.375" style="301" customWidth="1"/>
    <col min="5" max="5" width="13.25" style="301" customWidth="1"/>
    <col min="6" max="6" width="12.625" style="301" customWidth="1"/>
    <col min="7" max="8" width="9.125" style="301"/>
    <col min="9" max="9" width="10.125" style="301" bestFit="1" customWidth="1"/>
    <col min="10" max="16384" width="9.125" style="301"/>
  </cols>
  <sheetData>
    <row r="1" spans="2:9">
      <c r="B1" s="244"/>
      <c r="E1" s="520" t="s">
        <v>703</v>
      </c>
      <c r="F1" s="520"/>
    </row>
    <row r="2" spans="2:9" s="302" customFormat="1" ht="23.25" customHeight="1">
      <c r="B2" s="521" t="s">
        <v>750</v>
      </c>
      <c r="C2" s="521"/>
      <c r="D2" s="521"/>
      <c r="E2" s="521"/>
      <c r="F2" s="521"/>
    </row>
    <row r="3" spans="2:9">
      <c r="B3" s="522" t="s">
        <v>871</v>
      </c>
      <c r="C3" s="522"/>
      <c r="D3" s="522"/>
      <c r="E3" s="522"/>
      <c r="F3" s="522"/>
    </row>
    <row r="4" spans="2:9">
      <c r="B4" s="303"/>
      <c r="C4" s="303"/>
      <c r="D4" s="303"/>
      <c r="E4" s="516" t="s">
        <v>869</v>
      </c>
      <c r="F4" s="516"/>
    </row>
    <row r="5" spans="2:9" ht="27" customHeight="1">
      <c r="B5" s="304" t="s">
        <v>16</v>
      </c>
      <c r="C5" s="304" t="s">
        <v>17</v>
      </c>
      <c r="D5" s="304" t="s">
        <v>18</v>
      </c>
      <c r="E5" s="304" t="s">
        <v>19</v>
      </c>
      <c r="F5" s="304" t="s">
        <v>1048</v>
      </c>
    </row>
    <row r="6" spans="2:9">
      <c r="B6" s="304" t="s">
        <v>23</v>
      </c>
      <c r="C6" s="304" t="s">
        <v>24</v>
      </c>
      <c r="D6" s="304">
        <v>1</v>
      </c>
      <c r="E6" s="304">
        <v>2</v>
      </c>
      <c r="F6" s="304" t="s">
        <v>113</v>
      </c>
    </row>
    <row r="7" spans="2:9" ht="26.25" customHeight="1">
      <c r="B7" s="305"/>
      <c r="C7" s="306" t="s">
        <v>114</v>
      </c>
      <c r="D7" s="307">
        <f>D8+D30+D142+D143</f>
        <v>8277847</v>
      </c>
      <c r="E7" s="307">
        <f>E8+E30+E142+E143</f>
        <v>10817728.389277</v>
      </c>
      <c r="F7" s="308">
        <f>IF(D7=0, ,E7/D7*100)</f>
        <v>130.6828742942096</v>
      </c>
      <c r="H7" s="309"/>
      <c r="I7" s="309"/>
    </row>
    <row r="8" spans="2:9" ht="26.25" customHeight="1">
      <c r="B8" s="276" t="s">
        <v>23</v>
      </c>
      <c r="C8" s="277" t="s">
        <v>965</v>
      </c>
      <c r="D8" s="310">
        <f>D9+D29</f>
        <v>6295073</v>
      </c>
      <c r="E8" s="310">
        <f>E9+E29</f>
        <v>5893438.6063259998</v>
      </c>
      <c r="F8" s="311">
        <f t="shared" ref="F8:F101" si="0">IF(D8=0, ,E8/D8*100)</f>
        <v>93.619861220449707</v>
      </c>
    </row>
    <row r="9" spans="2:9" ht="27" customHeight="1">
      <c r="B9" s="276" t="s">
        <v>966</v>
      </c>
      <c r="C9" s="277" t="s">
        <v>115</v>
      </c>
      <c r="D9" s="278">
        <f>D10+D20+D24+D25+D26+D27+D28</f>
        <v>6278973</v>
      </c>
      <c r="E9" s="278">
        <f>E10+E20+E24+E25+E26+E27+E28</f>
        <v>5882726.4189219996</v>
      </c>
      <c r="F9" s="311">
        <f t="shared" si="0"/>
        <v>93.689309046590893</v>
      </c>
    </row>
    <row r="10" spans="2:9">
      <c r="B10" s="276" t="s">
        <v>28</v>
      </c>
      <c r="C10" s="277" t="s">
        <v>43</v>
      </c>
      <c r="D10" s="278">
        <f>D11+D18+D19</f>
        <v>825372</v>
      </c>
      <c r="E10" s="278">
        <f>E11+E18+E19</f>
        <v>1228339.7125190001</v>
      </c>
      <c r="F10" s="311">
        <f t="shared" si="0"/>
        <v>148.82255667977591</v>
      </c>
    </row>
    <row r="11" spans="2:9">
      <c r="B11" s="312">
        <v>1</v>
      </c>
      <c r="C11" s="313" t="s">
        <v>116</v>
      </c>
      <c r="D11" s="247">
        <f>825372-2844</f>
        <v>822528</v>
      </c>
      <c r="E11" s="247">
        <f>2882555.295346-E28-E35-'Bieu 61_Hien vo'!U12-7820-E29</f>
        <v>1220519.7125190001</v>
      </c>
      <c r="F11" s="314">
        <f t="shared" si="0"/>
        <v>148.3864029575893</v>
      </c>
    </row>
    <row r="12" spans="2:9">
      <c r="B12" s="312"/>
      <c r="C12" s="315" t="s">
        <v>117</v>
      </c>
      <c r="D12" s="247"/>
      <c r="E12" s="247"/>
      <c r="F12" s="314">
        <f t="shared" si="0"/>
        <v>0</v>
      </c>
    </row>
    <row r="13" spans="2:9" ht="19.5" customHeight="1">
      <c r="B13" s="312" t="s">
        <v>30</v>
      </c>
      <c r="C13" s="315" t="s">
        <v>118</v>
      </c>
      <c r="D13" s="247">
        <f>'bieu 53_Xong'!C14</f>
        <v>63797.473280999999</v>
      </c>
      <c r="E13" s="247">
        <f>'bieu 53_Xong'!F14</f>
        <v>128744.078041</v>
      </c>
      <c r="F13" s="314">
        <f t="shared" si="0"/>
        <v>201.8012178537833</v>
      </c>
      <c r="H13" s="309"/>
    </row>
    <row r="14" spans="2:9">
      <c r="B14" s="312" t="s">
        <v>30</v>
      </c>
      <c r="C14" s="315" t="s">
        <v>119</v>
      </c>
      <c r="D14" s="247">
        <v>22000</v>
      </c>
      <c r="E14" s="247">
        <v>16028.706697</v>
      </c>
      <c r="F14" s="314">
        <f t="shared" si="0"/>
        <v>72.85775771363636</v>
      </c>
    </row>
    <row r="15" spans="2:9" ht="16.5" customHeight="1">
      <c r="B15" s="312"/>
      <c r="C15" s="315" t="s">
        <v>120</v>
      </c>
      <c r="D15" s="247"/>
      <c r="E15" s="247"/>
      <c r="F15" s="314">
        <f t="shared" si="0"/>
        <v>0</v>
      </c>
    </row>
    <row r="16" spans="2:9" ht="18.75" customHeight="1">
      <c r="B16" s="312" t="s">
        <v>30</v>
      </c>
      <c r="C16" s="315" t="s">
        <v>121</v>
      </c>
      <c r="D16" s="247">
        <f>200000-2844</f>
        <v>197156</v>
      </c>
      <c r="E16" s="247">
        <v>135531.02574900002</v>
      </c>
      <c r="F16" s="314">
        <f t="shared" si="0"/>
        <v>68.743038887479983</v>
      </c>
    </row>
    <row r="17" spans="2:8" ht="17.25" customHeight="1">
      <c r="B17" s="312" t="s">
        <v>30</v>
      </c>
      <c r="C17" s="315" t="s">
        <v>122</v>
      </c>
      <c r="D17" s="247">
        <v>85000</v>
      </c>
      <c r="E17" s="247">
        <v>100844.6722</v>
      </c>
      <c r="F17" s="314">
        <f t="shared" si="0"/>
        <v>118.64079082352941</v>
      </c>
    </row>
    <row r="18" spans="2:8" ht="65.25" customHeight="1">
      <c r="B18" s="312">
        <v>2</v>
      </c>
      <c r="C18" s="313" t="s">
        <v>123</v>
      </c>
      <c r="D18" s="247">
        <v>2844</v>
      </c>
      <c r="E18" s="247">
        <v>7820</v>
      </c>
      <c r="F18" s="314">
        <f t="shared" si="0"/>
        <v>274.9648382559775</v>
      </c>
    </row>
    <row r="19" spans="2:8">
      <c r="B19" s="312">
        <v>3</v>
      </c>
      <c r="C19" s="313" t="s">
        <v>124</v>
      </c>
      <c r="D19" s="247"/>
      <c r="E19" s="247"/>
      <c r="F19" s="314">
        <f t="shared" si="0"/>
        <v>0</v>
      </c>
    </row>
    <row r="20" spans="2:8">
      <c r="B20" s="276" t="s">
        <v>33</v>
      </c>
      <c r="C20" s="277" t="s">
        <v>44</v>
      </c>
      <c r="D20" s="278">
        <v>4445685</v>
      </c>
      <c r="E20" s="278">
        <f>5113734.094622-E71-'Bieu 61_Hien vo'!V12</f>
        <v>4579953.3867929997</v>
      </c>
      <c r="F20" s="311">
        <f t="shared" si="0"/>
        <v>103.02019569072031</v>
      </c>
    </row>
    <row r="21" spans="2:8">
      <c r="B21" s="312"/>
      <c r="C21" s="315" t="s">
        <v>125</v>
      </c>
      <c r="D21" s="247"/>
      <c r="E21" s="247"/>
      <c r="F21" s="314">
        <f t="shared" si="0"/>
        <v>0</v>
      </c>
    </row>
    <row r="22" spans="2:8">
      <c r="B22" s="312">
        <v>1</v>
      </c>
      <c r="C22" s="315" t="s">
        <v>118</v>
      </c>
      <c r="D22" s="247">
        <v>1963710</v>
      </c>
      <c r="E22" s="247">
        <f>2041167.686-E81-E84-E85-E86-E91-E92-E136</f>
        <v>1945476.55375</v>
      </c>
      <c r="F22" s="314">
        <f t="shared" si="0"/>
        <v>99.071479686409901</v>
      </c>
    </row>
    <row r="23" spans="2:8">
      <c r="B23" s="312">
        <v>2</v>
      </c>
      <c r="C23" s="315" t="s">
        <v>126</v>
      </c>
      <c r="D23" s="247">
        <v>16390</v>
      </c>
      <c r="E23" s="247">
        <v>11706.385414</v>
      </c>
      <c r="F23" s="314">
        <f t="shared" si="0"/>
        <v>71.423950054911529</v>
      </c>
    </row>
    <row r="24" spans="2:8">
      <c r="B24" s="276" t="s">
        <v>37</v>
      </c>
      <c r="C24" s="277" t="s">
        <v>1056</v>
      </c>
      <c r="D24" s="278">
        <v>1300</v>
      </c>
      <c r="E24" s="278">
        <v>18521</v>
      </c>
      <c r="F24" s="311">
        <f t="shared" si="0"/>
        <v>1424.6923076923076</v>
      </c>
      <c r="H24" s="309"/>
    </row>
    <row r="25" spans="2:8">
      <c r="B25" s="276" t="s">
        <v>39</v>
      </c>
      <c r="C25" s="277" t="s">
        <v>45</v>
      </c>
      <c r="D25" s="278">
        <v>1000</v>
      </c>
      <c r="E25" s="278">
        <v>1000</v>
      </c>
      <c r="F25" s="311">
        <f t="shared" si="0"/>
        <v>100</v>
      </c>
    </row>
    <row r="26" spans="2:8">
      <c r="B26" s="276" t="s">
        <v>40</v>
      </c>
      <c r="C26" s="277" t="s">
        <v>46</v>
      </c>
      <c r="D26" s="278">
        <v>125616</v>
      </c>
      <c r="E26" s="278"/>
      <c r="F26" s="311">
        <f t="shared" si="0"/>
        <v>0</v>
      </c>
    </row>
    <row r="27" spans="2:8">
      <c r="B27" s="276" t="s">
        <v>127</v>
      </c>
      <c r="C27" s="277" t="s">
        <v>47</v>
      </c>
      <c r="D27" s="247"/>
      <c r="E27" s="247"/>
      <c r="F27" s="311">
        <f t="shared" si="0"/>
        <v>0</v>
      </c>
    </row>
    <row r="28" spans="2:8" ht="25.5">
      <c r="B28" s="276" t="s">
        <v>162</v>
      </c>
      <c r="C28" s="277" t="s">
        <v>759</v>
      </c>
      <c r="D28" s="278">
        <v>880000</v>
      </c>
      <c r="E28" s="278">
        <v>54912.319609999999</v>
      </c>
      <c r="F28" s="311">
        <f t="shared" si="0"/>
        <v>6.2400363193181816</v>
      </c>
    </row>
    <row r="29" spans="2:8">
      <c r="B29" s="276" t="s">
        <v>967</v>
      </c>
      <c r="C29" s="277" t="s">
        <v>968</v>
      </c>
      <c r="D29" s="278">
        <v>16100</v>
      </c>
      <c r="E29" s="278">
        <v>10712.187403999998</v>
      </c>
      <c r="F29" s="311">
        <f t="shared" si="0"/>
        <v>66.535325490683221</v>
      </c>
    </row>
    <row r="30" spans="2:8" ht="30" customHeight="1">
      <c r="B30" s="276" t="s">
        <v>24</v>
      </c>
      <c r="C30" s="277" t="s">
        <v>128</v>
      </c>
      <c r="D30" s="278">
        <f>D31+D34</f>
        <v>1982774</v>
      </c>
      <c r="E30" s="278">
        <f>E31+E34</f>
        <v>2122371.7836420001</v>
      </c>
      <c r="F30" s="311">
        <f t="shared" si="0"/>
        <v>107.04052926062172</v>
      </c>
    </row>
    <row r="31" spans="2:8">
      <c r="B31" s="276" t="s">
        <v>28</v>
      </c>
      <c r="C31" s="277" t="s">
        <v>49</v>
      </c>
      <c r="D31" s="278">
        <f>D32+D33</f>
        <v>661008</v>
      </c>
      <c r="E31" s="278">
        <f>E32+E33</f>
        <v>690045.38341300003</v>
      </c>
      <c r="F31" s="311">
        <f t="shared" si="0"/>
        <v>104.39289439961392</v>
      </c>
    </row>
    <row r="32" spans="2:8">
      <c r="B32" s="312">
        <v>1</v>
      </c>
      <c r="C32" s="313" t="s">
        <v>211</v>
      </c>
      <c r="D32" s="247">
        <v>372490</v>
      </c>
      <c r="E32" s="247">
        <f>'Bieu 61_Hien vo'!AD12</f>
        <v>373067.46099400008</v>
      </c>
      <c r="F32" s="314">
        <f t="shared" si="0"/>
        <v>100.1550272474429</v>
      </c>
    </row>
    <row r="33" spans="2:8">
      <c r="B33" s="312">
        <v>2</v>
      </c>
      <c r="C33" s="313" t="s">
        <v>212</v>
      </c>
      <c r="D33" s="247">
        <v>288518</v>
      </c>
      <c r="E33" s="247">
        <f>'Bieu 61_Hien vo'!W12</f>
        <v>316977.92241899995</v>
      </c>
      <c r="F33" s="314">
        <f t="shared" si="0"/>
        <v>109.86417569059815</v>
      </c>
    </row>
    <row r="34" spans="2:8">
      <c r="B34" s="276" t="s">
        <v>33</v>
      </c>
      <c r="C34" s="277" t="s">
        <v>129</v>
      </c>
      <c r="D34" s="278">
        <f>D35+D71</f>
        <v>1321766</v>
      </c>
      <c r="E34" s="278">
        <f>E35+E71</f>
        <v>1432326.400229</v>
      </c>
      <c r="F34" s="311">
        <f t="shared" si="0"/>
        <v>108.36459707913504</v>
      </c>
    </row>
    <row r="35" spans="2:8">
      <c r="B35" s="276" t="s">
        <v>213</v>
      </c>
      <c r="C35" s="277" t="s">
        <v>214</v>
      </c>
      <c r="D35" s="278">
        <f>D36+D48+D52</f>
        <v>756675</v>
      </c>
      <c r="E35" s="278">
        <f>E36+E48+E52</f>
        <v>1039194.495017</v>
      </c>
      <c r="F35" s="311">
        <f t="shared" si="0"/>
        <v>137.33696699600225</v>
      </c>
    </row>
    <row r="36" spans="2:8">
      <c r="B36" s="276">
        <v>1</v>
      </c>
      <c r="C36" s="277" t="s">
        <v>215</v>
      </c>
      <c r="D36" s="278">
        <f>'bieu 53_Xong'!C36</f>
        <v>319125</v>
      </c>
      <c r="E36" s="278">
        <v>236149.07899800001</v>
      </c>
      <c r="F36" s="311">
        <f t="shared" si="0"/>
        <v>73.998928005640437</v>
      </c>
      <c r="H36" s="316"/>
    </row>
    <row r="37" spans="2:8" outlineLevel="1">
      <c r="B37" s="276" t="s">
        <v>191</v>
      </c>
      <c r="C37" s="277" t="s">
        <v>972</v>
      </c>
      <c r="D37" s="317">
        <f>SUM(D38:D41)</f>
        <v>177391</v>
      </c>
      <c r="E37" s="317">
        <f>SUM(E38:E41)</f>
        <v>92746.328760999982</v>
      </c>
      <c r="F37" s="311">
        <f t="shared" si="0"/>
        <v>52.283559346866518</v>
      </c>
    </row>
    <row r="38" spans="2:8" ht="25.5" outlineLevel="1">
      <c r="B38" s="276" t="s">
        <v>30</v>
      </c>
      <c r="C38" s="318" t="s">
        <v>298</v>
      </c>
      <c r="D38" s="317">
        <v>160591</v>
      </c>
      <c r="E38" s="317">
        <v>13770.727177999996</v>
      </c>
      <c r="F38" s="418">
        <f t="shared" si="0"/>
        <v>8.5750304674608131</v>
      </c>
    </row>
    <row r="39" spans="2:8" ht="25.5" outlineLevel="1">
      <c r="B39" s="276" t="s">
        <v>30</v>
      </c>
      <c r="C39" s="319" t="s">
        <v>973</v>
      </c>
      <c r="D39" s="317">
        <v>16800</v>
      </c>
      <c r="E39" s="317">
        <v>55002.990582999999</v>
      </c>
      <c r="F39" s="418">
        <f t="shared" si="0"/>
        <v>327.39875347023809</v>
      </c>
    </row>
    <row r="40" spans="2:8" ht="25.5" outlineLevel="1">
      <c r="B40" s="276" t="s">
        <v>30</v>
      </c>
      <c r="C40" s="320" t="s">
        <v>974</v>
      </c>
      <c r="D40" s="317"/>
      <c r="E40" s="317">
        <v>11529.020999999999</v>
      </c>
      <c r="F40" s="418">
        <f t="shared" si="0"/>
        <v>0</v>
      </c>
    </row>
    <row r="41" spans="2:8" ht="25.5" outlineLevel="1">
      <c r="B41" s="276" t="s">
        <v>30</v>
      </c>
      <c r="C41" s="320" t="s">
        <v>975</v>
      </c>
      <c r="D41" s="317"/>
      <c r="E41" s="317">
        <v>12443.59</v>
      </c>
      <c r="F41" s="418">
        <f t="shared" si="0"/>
        <v>0</v>
      </c>
    </row>
    <row r="42" spans="2:8" outlineLevel="1">
      <c r="B42" s="276" t="s">
        <v>192</v>
      </c>
      <c r="C42" s="277" t="s">
        <v>976</v>
      </c>
      <c r="D42" s="317">
        <f>SUM(D43:D47)</f>
        <v>141734</v>
      </c>
      <c r="E42" s="317">
        <f t="shared" ref="E42" si="1">SUM(E43:E47)</f>
        <v>143402.75023700003</v>
      </c>
      <c r="F42" s="419">
        <f t="shared" si="0"/>
        <v>101.17738174114893</v>
      </c>
    </row>
    <row r="43" spans="2:8" outlineLevel="1">
      <c r="B43" s="276" t="s">
        <v>30</v>
      </c>
      <c r="C43" s="318" t="s">
        <v>977</v>
      </c>
      <c r="D43" s="317">
        <v>38500</v>
      </c>
      <c r="E43" s="317">
        <v>41815.756439000019</v>
      </c>
      <c r="F43" s="418">
        <f t="shared" si="0"/>
        <v>108.61235438701304</v>
      </c>
    </row>
    <row r="44" spans="2:8" outlineLevel="1">
      <c r="B44" s="276" t="s">
        <v>30</v>
      </c>
      <c r="C44" s="321" t="s">
        <v>978</v>
      </c>
      <c r="D44" s="317">
        <v>38734</v>
      </c>
      <c r="E44" s="317">
        <v>55441.823749999996</v>
      </c>
      <c r="F44" s="418">
        <f t="shared" si="0"/>
        <v>143.13477500387256</v>
      </c>
    </row>
    <row r="45" spans="2:8" ht="25.5" outlineLevel="1">
      <c r="B45" s="276" t="s">
        <v>30</v>
      </c>
      <c r="C45" s="320" t="s">
        <v>479</v>
      </c>
      <c r="D45" s="317">
        <v>26500</v>
      </c>
      <c r="E45" s="317">
        <v>6316.9868540000007</v>
      </c>
      <c r="F45" s="418">
        <f t="shared" si="0"/>
        <v>23.837686241509438</v>
      </c>
    </row>
    <row r="46" spans="2:8" ht="25.5" outlineLevel="1">
      <c r="B46" s="276" t="s">
        <v>30</v>
      </c>
      <c r="C46" s="319" t="s">
        <v>979</v>
      </c>
      <c r="D46" s="317">
        <v>35510</v>
      </c>
      <c r="E46" s="317">
        <v>31932.203000000001</v>
      </c>
      <c r="F46" s="418">
        <f t="shared" si="0"/>
        <v>89.924536750211217</v>
      </c>
    </row>
    <row r="47" spans="2:8" ht="25.5" outlineLevel="1">
      <c r="B47" s="276" t="s">
        <v>30</v>
      </c>
      <c r="C47" s="319" t="s">
        <v>980</v>
      </c>
      <c r="D47" s="317">
        <v>2490</v>
      </c>
      <c r="E47" s="317">
        <v>7895.9801939999998</v>
      </c>
      <c r="F47" s="418">
        <f t="shared" si="0"/>
        <v>317.10763831325301</v>
      </c>
    </row>
    <row r="48" spans="2:8">
      <c r="B48" s="276" t="s">
        <v>981</v>
      </c>
      <c r="C48" s="322" t="s">
        <v>982</v>
      </c>
      <c r="D48" s="310">
        <f>SUM(D49:D51)</f>
        <v>0</v>
      </c>
      <c r="E48" s="310">
        <f>SUM(E49:E51)</f>
        <v>5777.5368150000013</v>
      </c>
      <c r="F48" s="311">
        <f t="shared" si="0"/>
        <v>0</v>
      </c>
    </row>
    <row r="49" spans="2:6" outlineLevel="1">
      <c r="B49" s="276" t="s">
        <v>30</v>
      </c>
      <c r="C49" s="321" t="s">
        <v>978</v>
      </c>
      <c r="D49" s="317">
        <f>12546-12546</f>
        <v>0</v>
      </c>
      <c r="E49" s="317">
        <v>4175.8536910000003</v>
      </c>
      <c r="F49" s="311">
        <f t="shared" si="0"/>
        <v>0</v>
      </c>
    </row>
    <row r="50" spans="2:6" ht="25.5" outlineLevel="1">
      <c r="B50" s="276" t="s">
        <v>30</v>
      </c>
      <c r="C50" s="320" t="s">
        <v>479</v>
      </c>
      <c r="D50" s="317">
        <f>7332-7332</f>
        <v>0</v>
      </c>
      <c r="E50" s="317">
        <v>831.09345800000017</v>
      </c>
      <c r="F50" s="311">
        <f t="shared" si="0"/>
        <v>0</v>
      </c>
    </row>
    <row r="51" spans="2:6" outlineLevel="1">
      <c r="B51" s="276" t="s">
        <v>30</v>
      </c>
      <c r="C51" s="318" t="s">
        <v>977</v>
      </c>
      <c r="D51" s="317">
        <f>5672-5672</f>
        <v>0</v>
      </c>
      <c r="E51" s="317">
        <v>770.58966600000076</v>
      </c>
      <c r="F51" s="311">
        <f t="shared" si="0"/>
        <v>0</v>
      </c>
    </row>
    <row r="52" spans="2:6">
      <c r="B52" s="276" t="s">
        <v>983</v>
      </c>
      <c r="C52" s="277" t="s">
        <v>177</v>
      </c>
      <c r="D52" s="310">
        <f>D53+D68</f>
        <v>437550</v>
      </c>
      <c r="E52" s="310">
        <f>E53+E68</f>
        <v>797267.879204</v>
      </c>
      <c r="F52" s="311">
        <f t="shared" si="0"/>
        <v>182.21183389418351</v>
      </c>
    </row>
    <row r="53" spans="2:6" hidden="1" outlineLevel="1">
      <c r="B53" s="276" t="s">
        <v>984</v>
      </c>
      <c r="C53" s="277" t="s">
        <v>985</v>
      </c>
      <c r="D53" s="317">
        <f>SUM(D54:D67)</f>
        <v>437550</v>
      </c>
      <c r="E53" s="317">
        <f>SUM(E54:E67)</f>
        <v>420289.58044500003</v>
      </c>
      <c r="F53" s="311">
        <f t="shared" si="0"/>
        <v>96.055212077476867</v>
      </c>
    </row>
    <row r="54" spans="2:6" hidden="1" outlineLevel="1">
      <c r="B54" s="276" t="s">
        <v>30</v>
      </c>
      <c r="C54" s="318" t="s">
        <v>986</v>
      </c>
      <c r="D54" s="317">
        <v>114159</v>
      </c>
      <c r="E54" s="317">
        <v>109893.18868700002</v>
      </c>
      <c r="F54" s="311">
        <f t="shared" si="0"/>
        <v>96.263272003959401</v>
      </c>
    </row>
    <row r="55" spans="2:6" ht="25.5" hidden="1" outlineLevel="1">
      <c r="B55" s="276" t="s">
        <v>30</v>
      </c>
      <c r="C55" s="313" t="s">
        <v>962</v>
      </c>
      <c r="D55" s="317">
        <v>0</v>
      </c>
      <c r="E55" s="317">
        <v>795.25</v>
      </c>
      <c r="F55" s="311">
        <f t="shared" si="0"/>
        <v>0</v>
      </c>
    </row>
    <row r="56" spans="2:6" hidden="1" outlineLevel="1">
      <c r="B56" s="276" t="s">
        <v>30</v>
      </c>
      <c r="C56" s="313" t="s">
        <v>987</v>
      </c>
      <c r="D56" s="317">
        <v>10000</v>
      </c>
      <c r="E56" s="317">
        <v>18390.68763</v>
      </c>
      <c r="F56" s="311">
        <f t="shared" si="0"/>
        <v>183.90687629999999</v>
      </c>
    </row>
    <row r="57" spans="2:6" ht="38.25" hidden="1" outlineLevel="1">
      <c r="B57" s="276" t="s">
        <v>30</v>
      </c>
      <c r="C57" s="313" t="s">
        <v>988</v>
      </c>
      <c r="D57" s="317">
        <v>95960</v>
      </c>
      <c r="E57" s="317">
        <v>95960</v>
      </c>
      <c r="F57" s="311">
        <f t="shared" si="0"/>
        <v>100</v>
      </c>
    </row>
    <row r="58" spans="2:6" hidden="1" outlineLevel="1">
      <c r="B58" s="276" t="s">
        <v>30</v>
      </c>
      <c r="C58" s="313" t="s">
        <v>989</v>
      </c>
      <c r="D58" s="317">
        <v>41019</v>
      </c>
      <c r="E58" s="317">
        <v>32131.313820999996</v>
      </c>
      <c r="F58" s="311">
        <f t="shared" si="0"/>
        <v>78.332757553816506</v>
      </c>
    </row>
    <row r="59" spans="2:6" hidden="1" outlineLevel="1">
      <c r="B59" s="276" t="s">
        <v>30</v>
      </c>
      <c r="C59" s="318" t="s">
        <v>990</v>
      </c>
      <c r="D59" s="317">
        <v>102794</v>
      </c>
      <c r="E59" s="317">
        <v>1133.7190000000001</v>
      </c>
      <c r="F59" s="311">
        <f t="shared" si="0"/>
        <v>1.1029038659843959</v>
      </c>
    </row>
    <row r="60" spans="2:6" hidden="1" outlineLevel="1">
      <c r="B60" s="276" t="s">
        <v>30</v>
      </c>
      <c r="C60" s="318" t="s">
        <v>991</v>
      </c>
      <c r="D60" s="317">
        <v>23961</v>
      </c>
      <c r="E60" s="317">
        <v>22519.167999999998</v>
      </c>
      <c r="F60" s="311">
        <f t="shared" si="0"/>
        <v>93.982588372772412</v>
      </c>
    </row>
    <row r="61" spans="2:6" hidden="1" outlineLevel="1">
      <c r="B61" s="276" t="s">
        <v>30</v>
      </c>
      <c r="C61" s="318" t="s">
        <v>992</v>
      </c>
      <c r="D61" s="317"/>
      <c r="E61" s="317">
        <v>45297.868407000002</v>
      </c>
      <c r="F61" s="311">
        <f t="shared" si="0"/>
        <v>0</v>
      </c>
    </row>
    <row r="62" spans="2:6" ht="25.5" hidden="1" outlineLevel="1">
      <c r="B62" s="276" t="s">
        <v>30</v>
      </c>
      <c r="C62" s="313" t="s">
        <v>993</v>
      </c>
      <c r="D62" s="317"/>
      <c r="E62" s="317">
        <v>9999.83</v>
      </c>
      <c r="F62" s="311">
        <f t="shared" si="0"/>
        <v>0</v>
      </c>
    </row>
    <row r="63" spans="2:6" hidden="1" outlineLevel="1">
      <c r="B63" s="276" t="s">
        <v>30</v>
      </c>
      <c r="C63" s="313" t="s">
        <v>994</v>
      </c>
      <c r="D63" s="317"/>
      <c r="E63" s="317">
        <v>21192.573</v>
      </c>
      <c r="F63" s="311">
        <f t="shared" si="0"/>
        <v>0</v>
      </c>
    </row>
    <row r="64" spans="2:6" hidden="1" outlineLevel="1">
      <c r="B64" s="276" t="s">
        <v>30</v>
      </c>
      <c r="C64" s="313" t="s">
        <v>995</v>
      </c>
      <c r="D64" s="317"/>
      <c r="E64" s="317">
        <v>2066.4539999999997</v>
      </c>
      <c r="F64" s="311">
        <f t="shared" si="0"/>
        <v>0</v>
      </c>
    </row>
    <row r="65" spans="2:6" hidden="1" outlineLevel="1">
      <c r="B65" s="276" t="s">
        <v>30</v>
      </c>
      <c r="C65" s="318" t="s">
        <v>996</v>
      </c>
      <c r="D65" s="317">
        <v>39657</v>
      </c>
      <c r="E65" s="317">
        <v>25724.956999999999</v>
      </c>
      <c r="F65" s="311">
        <f t="shared" si="0"/>
        <v>64.86864109741029</v>
      </c>
    </row>
    <row r="66" spans="2:6" ht="25.5" hidden="1" outlineLevel="1">
      <c r="B66" s="276" t="s">
        <v>30</v>
      </c>
      <c r="C66" s="318" t="s">
        <v>997</v>
      </c>
      <c r="D66" s="317">
        <v>10000</v>
      </c>
      <c r="E66" s="317">
        <v>9752</v>
      </c>
      <c r="F66" s="311">
        <f t="shared" si="0"/>
        <v>97.52</v>
      </c>
    </row>
    <row r="67" spans="2:6" hidden="1" outlineLevel="1">
      <c r="B67" s="276" t="s">
        <v>30</v>
      </c>
      <c r="C67" s="318" t="s">
        <v>998</v>
      </c>
      <c r="D67" s="317"/>
      <c r="E67" s="317">
        <v>25432.570899999999</v>
      </c>
      <c r="F67" s="311">
        <f t="shared" si="0"/>
        <v>0</v>
      </c>
    </row>
    <row r="68" spans="2:6" hidden="1" outlineLevel="1">
      <c r="B68" s="276" t="s">
        <v>204</v>
      </c>
      <c r="C68" s="277" t="s">
        <v>999</v>
      </c>
      <c r="D68" s="317">
        <f>SUM(D69:D70)</f>
        <v>0</v>
      </c>
      <c r="E68" s="317">
        <f>SUM(E69:E70)</f>
        <v>376978.29875899997</v>
      </c>
      <c r="F68" s="311">
        <f t="shared" si="0"/>
        <v>0</v>
      </c>
    </row>
    <row r="69" spans="2:6" hidden="1" outlineLevel="1">
      <c r="B69" s="276" t="s">
        <v>30</v>
      </c>
      <c r="C69" s="318" t="s">
        <v>1000</v>
      </c>
      <c r="D69" s="317"/>
      <c r="E69" s="317">
        <v>376899.54175899999</v>
      </c>
      <c r="F69" s="311">
        <f t="shared" si="0"/>
        <v>0</v>
      </c>
    </row>
    <row r="70" spans="2:6" hidden="1" outlineLevel="1">
      <c r="B70" s="312"/>
      <c r="C70" s="313" t="s">
        <v>1001</v>
      </c>
      <c r="D70" s="317"/>
      <c r="E70" s="317">
        <v>78.757000000000005</v>
      </c>
      <c r="F70" s="311">
        <f t="shared" si="0"/>
        <v>0</v>
      </c>
    </row>
    <row r="71" spans="2:6" collapsed="1">
      <c r="B71" s="276" t="s">
        <v>216</v>
      </c>
      <c r="C71" s="277" t="s">
        <v>217</v>
      </c>
      <c r="D71" s="278">
        <f>D72+D79</f>
        <v>565091</v>
      </c>
      <c r="E71" s="278">
        <f>E72+E79</f>
        <v>393131.90521200001</v>
      </c>
      <c r="F71" s="311">
        <f t="shared" si="0"/>
        <v>69.569663153722146</v>
      </c>
    </row>
    <row r="72" spans="2:6">
      <c r="B72" s="276" t="s">
        <v>28</v>
      </c>
      <c r="C72" s="277" t="s">
        <v>176</v>
      </c>
      <c r="D72" s="278">
        <v>149330</v>
      </c>
      <c r="E72" s="278">
        <f>'bieu 53_Xong'!G39</f>
        <v>24303.637935999999</v>
      </c>
      <c r="F72" s="311">
        <f t="shared" si="0"/>
        <v>16.275120830375677</v>
      </c>
    </row>
    <row r="73" spans="2:6" ht="38.25" outlineLevel="1">
      <c r="B73" s="312" t="s">
        <v>943</v>
      </c>
      <c r="C73" s="313" t="s">
        <v>944</v>
      </c>
      <c r="D73" s="247">
        <v>4315</v>
      </c>
      <c r="E73" s="247">
        <v>4006.0955359999998</v>
      </c>
      <c r="F73" s="418">
        <f t="shared" si="0"/>
        <v>92.841147995365006</v>
      </c>
    </row>
    <row r="74" spans="2:6" ht="25.5" outlineLevel="1">
      <c r="B74" s="312" t="s">
        <v>943</v>
      </c>
      <c r="C74" s="313" t="s">
        <v>945</v>
      </c>
      <c r="D74" s="247">
        <v>4177</v>
      </c>
      <c r="E74" s="247">
        <v>806.97299999999996</v>
      </c>
      <c r="F74" s="418">
        <f t="shared" si="0"/>
        <v>19.31943978932248</v>
      </c>
    </row>
    <row r="75" spans="2:6" ht="38.25" outlineLevel="1">
      <c r="B75" s="312" t="s">
        <v>943</v>
      </c>
      <c r="C75" s="313" t="s">
        <v>946</v>
      </c>
      <c r="D75" s="247">
        <v>2657</v>
      </c>
      <c r="E75" s="247">
        <v>557.74054000000001</v>
      </c>
      <c r="F75" s="418">
        <f t="shared" si="0"/>
        <v>20.99136394429808</v>
      </c>
    </row>
    <row r="76" spans="2:6" ht="44.25" customHeight="1" outlineLevel="1">
      <c r="B76" s="312" t="s">
        <v>943</v>
      </c>
      <c r="C76" s="313" t="s">
        <v>947</v>
      </c>
      <c r="D76" s="247">
        <v>4000</v>
      </c>
      <c r="E76" s="247">
        <v>3644.002</v>
      </c>
      <c r="F76" s="418">
        <f t="shared" si="0"/>
        <v>91.100049999999996</v>
      </c>
    </row>
    <row r="77" spans="2:6" ht="38.25" outlineLevel="1">
      <c r="B77" s="312" t="s">
        <v>943</v>
      </c>
      <c r="C77" s="313" t="s">
        <v>948</v>
      </c>
      <c r="D77" s="247">
        <v>16000</v>
      </c>
      <c r="E77" s="247">
        <v>15288.826859999999</v>
      </c>
      <c r="F77" s="418">
        <f t="shared" si="0"/>
        <v>95.555167874999995</v>
      </c>
    </row>
    <row r="78" spans="2:6" outlineLevel="1">
      <c r="B78" s="312" t="s">
        <v>943</v>
      </c>
      <c r="C78" s="313" t="s">
        <v>949</v>
      </c>
      <c r="D78" s="247">
        <v>118181</v>
      </c>
      <c r="E78" s="247">
        <v>0</v>
      </c>
      <c r="F78" s="418">
        <f t="shared" si="0"/>
        <v>0</v>
      </c>
    </row>
    <row r="79" spans="2:6">
      <c r="B79" s="276" t="s">
        <v>33</v>
      </c>
      <c r="C79" s="277" t="s">
        <v>177</v>
      </c>
      <c r="D79" s="278">
        <f>D80+D81+D84+D85+D86+D90+D94+D95+D96+D101+D106+D107+D108+D109+D110+D111+D114+D141+D139+D140</f>
        <v>415761</v>
      </c>
      <c r="E79" s="278">
        <f>E80+E81+E84+E85+E86+E90+E94+E95+E96+E101+E106+E107+E108+E109+E110+E111+E114+E141+E139+E140</f>
        <v>368828.267276</v>
      </c>
      <c r="F79" s="311">
        <f t="shared" si="0"/>
        <v>88.711607696729615</v>
      </c>
    </row>
    <row r="80" spans="2:6">
      <c r="B80" s="312">
        <v>1</v>
      </c>
      <c r="C80" s="313" t="s">
        <v>219</v>
      </c>
      <c r="D80" s="247">
        <v>570</v>
      </c>
      <c r="E80" s="247">
        <f>'bieu 53_Xong'!F47</f>
        <v>570</v>
      </c>
      <c r="F80" s="314">
        <f t="shared" si="0"/>
        <v>100</v>
      </c>
    </row>
    <row r="81" spans="2:9">
      <c r="B81" s="312">
        <v>2</v>
      </c>
      <c r="C81" s="313" t="s">
        <v>220</v>
      </c>
      <c r="D81" s="247">
        <f>D82+D83</f>
        <v>39102</v>
      </c>
      <c r="E81" s="247">
        <f>'bieu 53_Xong'!F48</f>
        <v>23999.11075</v>
      </c>
      <c r="F81" s="314">
        <f t="shared" si="0"/>
        <v>61.375660452150782</v>
      </c>
    </row>
    <row r="82" spans="2:9" hidden="1" outlineLevel="1">
      <c r="B82" s="312" t="s">
        <v>200</v>
      </c>
      <c r="C82" s="313" t="s">
        <v>221</v>
      </c>
      <c r="D82" s="247">
        <v>29331</v>
      </c>
      <c r="E82" s="247"/>
      <c r="F82" s="314">
        <f t="shared" si="0"/>
        <v>0</v>
      </c>
    </row>
    <row r="83" spans="2:9" hidden="1" outlineLevel="1">
      <c r="B83" s="312" t="s">
        <v>201</v>
      </c>
      <c r="C83" s="313" t="s">
        <v>222</v>
      </c>
      <c r="D83" s="247">
        <v>9771</v>
      </c>
      <c r="E83" s="247"/>
      <c r="F83" s="314">
        <f t="shared" si="0"/>
        <v>0</v>
      </c>
    </row>
    <row r="84" spans="2:9" ht="25.5" collapsed="1">
      <c r="B84" s="312">
        <v>3</v>
      </c>
      <c r="C84" s="313" t="s">
        <v>223</v>
      </c>
      <c r="D84" s="247">
        <v>28852</v>
      </c>
      <c r="E84" s="247">
        <f>'bieu 53_Xong'!F49</f>
        <v>25375.298999999999</v>
      </c>
      <c r="F84" s="314">
        <f t="shared" si="0"/>
        <v>87.949878691251911</v>
      </c>
    </row>
    <row r="85" spans="2:9" ht="25.5">
      <c r="B85" s="312">
        <v>4</v>
      </c>
      <c r="C85" s="313" t="s">
        <v>224</v>
      </c>
      <c r="D85" s="247">
        <v>3696</v>
      </c>
      <c r="E85" s="247">
        <f>'bieu 53_Xong'!F50</f>
        <v>1666.9675000000002</v>
      </c>
      <c r="F85" s="314">
        <f t="shared" si="0"/>
        <v>45.101934523809526</v>
      </c>
    </row>
    <row r="86" spans="2:9" ht="51">
      <c r="B86" s="312">
        <v>5</v>
      </c>
      <c r="C86" s="313" t="s">
        <v>225</v>
      </c>
      <c r="D86" s="247">
        <f>D87+D88+D89</f>
        <v>15596</v>
      </c>
      <c r="E86" s="247">
        <f>E87+E88+E89</f>
        <v>10339.678</v>
      </c>
      <c r="F86" s="314">
        <f t="shared" si="0"/>
        <v>66.296986406770969</v>
      </c>
      <c r="G86" s="309"/>
      <c r="I86" s="309"/>
    </row>
    <row r="87" spans="2:9">
      <c r="B87" s="312" t="s">
        <v>226</v>
      </c>
      <c r="C87" s="313" t="s">
        <v>229</v>
      </c>
      <c r="D87" s="247">
        <v>6526</v>
      </c>
      <c r="E87" s="247">
        <f>'bieu 53_Xong'!F54</f>
        <v>6526</v>
      </c>
      <c r="F87" s="314">
        <f t="shared" si="0"/>
        <v>100</v>
      </c>
    </row>
    <row r="88" spans="2:9">
      <c r="B88" s="312" t="s">
        <v>227</v>
      </c>
      <c r="C88" s="313" t="s">
        <v>230</v>
      </c>
      <c r="D88" s="247">
        <v>1515</v>
      </c>
      <c r="E88" s="247">
        <f>'bieu 53_Xong'!F55</f>
        <v>1515</v>
      </c>
      <c r="F88" s="314">
        <f t="shared" si="0"/>
        <v>100</v>
      </c>
    </row>
    <row r="89" spans="2:9">
      <c r="B89" s="312" t="s">
        <v>228</v>
      </c>
      <c r="C89" s="313" t="s">
        <v>231</v>
      </c>
      <c r="D89" s="247">
        <v>7555</v>
      </c>
      <c r="E89" s="247">
        <f>'bieu 53_Xong'!F56</f>
        <v>2298.6779999999999</v>
      </c>
      <c r="F89" s="314">
        <f t="shared" si="0"/>
        <v>30.425916611515554</v>
      </c>
    </row>
    <row r="90" spans="2:9" ht="25.5">
      <c r="B90" s="312">
        <v>6</v>
      </c>
      <c r="C90" s="313" t="s">
        <v>1061</v>
      </c>
      <c r="D90" s="247">
        <f>D91+D92+D93</f>
        <v>3408</v>
      </c>
      <c r="E90" s="247">
        <f>E91+E92+E93</f>
        <v>4842.0769999999993</v>
      </c>
      <c r="F90" s="314">
        <f t="shared" si="0"/>
        <v>142.07972417840372</v>
      </c>
    </row>
    <row r="91" spans="2:9">
      <c r="B91" s="312" t="s">
        <v>232</v>
      </c>
      <c r="C91" s="313" t="s">
        <v>235</v>
      </c>
      <c r="D91" s="247">
        <v>1840</v>
      </c>
      <c r="E91" s="247">
        <f>'bieu 53_Xong'!F58</f>
        <v>759.649</v>
      </c>
      <c r="F91" s="314">
        <f t="shared" si="0"/>
        <v>41.285271739130437</v>
      </c>
    </row>
    <row r="92" spans="2:9" ht="25.5">
      <c r="B92" s="312" t="s">
        <v>233</v>
      </c>
      <c r="C92" s="313" t="s">
        <v>236</v>
      </c>
      <c r="D92" s="247">
        <v>1288</v>
      </c>
      <c r="E92" s="247">
        <f>'bieu 53_Xong'!F59</f>
        <v>3802.4279999999994</v>
      </c>
      <c r="F92" s="314">
        <f t="shared" si="0"/>
        <v>295.21956521739128</v>
      </c>
    </row>
    <row r="93" spans="2:9">
      <c r="B93" s="312" t="s">
        <v>234</v>
      </c>
      <c r="C93" s="313" t="s">
        <v>237</v>
      </c>
      <c r="D93" s="247">
        <v>280</v>
      </c>
      <c r="E93" s="247">
        <f>'bieu 53_Xong'!F60</f>
        <v>280</v>
      </c>
      <c r="F93" s="314">
        <f t="shared" si="0"/>
        <v>100</v>
      </c>
    </row>
    <row r="94" spans="2:9" ht="25.5">
      <c r="B94" s="312">
        <v>7</v>
      </c>
      <c r="C94" s="313" t="s">
        <v>238</v>
      </c>
      <c r="D94" s="247">
        <v>83651</v>
      </c>
      <c r="E94" s="247">
        <f>'bieu 53_Xong'!F61</f>
        <v>83651</v>
      </c>
      <c r="F94" s="314">
        <f t="shared" si="0"/>
        <v>100</v>
      </c>
    </row>
    <row r="95" spans="2:9">
      <c r="B95" s="312">
        <v>8</v>
      </c>
      <c r="C95" s="313" t="s">
        <v>239</v>
      </c>
      <c r="D95" s="247">
        <v>11957</v>
      </c>
      <c r="E95" s="247">
        <f>'bieu 53_Xong'!F62</f>
        <v>11957</v>
      </c>
      <c r="F95" s="314">
        <f t="shared" si="0"/>
        <v>100</v>
      </c>
    </row>
    <row r="96" spans="2:9">
      <c r="B96" s="312">
        <v>9</v>
      </c>
      <c r="C96" s="313" t="s">
        <v>240</v>
      </c>
      <c r="D96" s="247">
        <f>D100+D99+D98+D97</f>
        <v>14532</v>
      </c>
      <c r="E96" s="247">
        <f>E100+E99+E98+E97</f>
        <v>10546.56</v>
      </c>
      <c r="F96" s="314">
        <f t="shared" si="0"/>
        <v>72.57473162675474</v>
      </c>
    </row>
    <row r="97" spans="2:9" ht="25.5">
      <c r="B97" s="323" t="s">
        <v>30</v>
      </c>
      <c r="C97" s="313" t="s">
        <v>241</v>
      </c>
      <c r="D97" s="247">
        <v>1765</v>
      </c>
      <c r="E97" s="247">
        <f>'bieu 53_Xong'!F64</f>
        <v>1714.3400000000001</v>
      </c>
      <c r="F97" s="314">
        <f t="shared" si="0"/>
        <v>97.129745042492914</v>
      </c>
    </row>
    <row r="98" spans="2:9" ht="18.75" customHeight="1">
      <c r="B98" s="323" t="s">
        <v>30</v>
      </c>
      <c r="C98" s="313" t="s">
        <v>242</v>
      </c>
      <c r="D98" s="247">
        <v>1411</v>
      </c>
      <c r="E98" s="247">
        <f>'bieu 53_Xong'!F65</f>
        <v>1245.22</v>
      </c>
      <c r="F98" s="314">
        <f t="shared" si="0"/>
        <v>88.250885896527294</v>
      </c>
    </row>
    <row r="99" spans="2:9" ht="30.75" customHeight="1">
      <c r="B99" s="323" t="s">
        <v>30</v>
      </c>
      <c r="C99" s="313" t="s">
        <v>243</v>
      </c>
      <c r="D99" s="247">
        <v>4335</v>
      </c>
      <c r="E99" s="247">
        <f>'bieu 53_Xong'!F66</f>
        <v>4335</v>
      </c>
      <c r="F99" s="314">
        <f t="shared" si="0"/>
        <v>100</v>
      </c>
    </row>
    <row r="100" spans="2:9" ht="26.25" customHeight="1">
      <c r="B100" s="323" t="s">
        <v>30</v>
      </c>
      <c r="C100" s="313" t="s">
        <v>244</v>
      </c>
      <c r="D100" s="247">
        <v>7021</v>
      </c>
      <c r="E100" s="247">
        <f>'bieu 53_Xong'!F67</f>
        <v>3252</v>
      </c>
      <c r="F100" s="314">
        <f t="shared" si="0"/>
        <v>46.318188292266058</v>
      </c>
    </row>
    <row r="101" spans="2:9" ht="79.5" customHeight="1">
      <c r="B101" s="323">
        <v>10</v>
      </c>
      <c r="C101" s="324" t="s">
        <v>245</v>
      </c>
      <c r="D101" s="247">
        <f>SUM(D102:D105)</f>
        <v>46969</v>
      </c>
      <c r="E101" s="247">
        <f>SUM(E102:E105)</f>
        <v>41447.550999999999</v>
      </c>
      <c r="F101" s="314">
        <f t="shared" si="0"/>
        <v>88.24448253103111</v>
      </c>
    </row>
    <row r="102" spans="2:9" ht="24.75" customHeight="1">
      <c r="B102" s="312" t="s">
        <v>246</v>
      </c>
      <c r="C102" s="313" t="s">
        <v>250</v>
      </c>
      <c r="D102" s="247">
        <v>12694</v>
      </c>
      <c r="E102" s="247">
        <f>'bieu 53_Xong'!F69</f>
        <v>12573.79</v>
      </c>
      <c r="F102" s="314">
        <f t="shared" ref="F102:F143" si="2">IF(D102=0, ,E102/D102*100)</f>
        <v>99.053017173467779</v>
      </c>
      <c r="I102" s="309"/>
    </row>
    <row r="103" spans="2:9" ht="15" customHeight="1">
      <c r="B103" s="312" t="s">
        <v>247</v>
      </c>
      <c r="C103" s="313" t="s">
        <v>251</v>
      </c>
      <c r="D103" s="247">
        <v>14041</v>
      </c>
      <c r="E103" s="247">
        <f>'bieu 53_Xong'!F70</f>
        <v>11615.861000000001</v>
      </c>
      <c r="F103" s="314">
        <f t="shared" si="2"/>
        <v>82.728160387436802</v>
      </c>
      <c r="I103" s="309"/>
    </row>
    <row r="104" spans="2:9" ht="29.25" customHeight="1">
      <c r="B104" s="312" t="s">
        <v>248</v>
      </c>
      <c r="C104" s="313" t="s">
        <v>252</v>
      </c>
      <c r="D104" s="247">
        <v>1487</v>
      </c>
      <c r="E104" s="247">
        <f>'bieu 53_Xong'!F71</f>
        <v>2005</v>
      </c>
      <c r="F104" s="314">
        <f t="shared" si="2"/>
        <v>134.83523873570948</v>
      </c>
      <c r="I104" s="309"/>
    </row>
    <row r="105" spans="2:9" ht="24" customHeight="1">
      <c r="B105" s="312" t="s">
        <v>249</v>
      </c>
      <c r="C105" s="313" t="s">
        <v>253</v>
      </c>
      <c r="D105" s="247">
        <v>18747</v>
      </c>
      <c r="E105" s="247">
        <f>'bieu 53_Xong'!F72</f>
        <v>15252.899999999998</v>
      </c>
      <c r="F105" s="314">
        <f t="shared" si="2"/>
        <v>81.361817890862525</v>
      </c>
      <c r="I105" s="309"/>
    </row>
    <row r="106" spans="2:9" ht="44.25" customHeight="1">
      <c r="B106" s="323">
        <v>11</v>
      </c>
      <c r="C106" s="313" t="s">
        <v>254</v>
      </c>
      <c r="D106" s="247">
        <v>10215</v>
      </c>
      <c r="E106" s="247">
        <f>'bieu 53_Xong'!F73</f>
        <v>7752.9</v>
      </c>
      <c r="F106" s="314">
        <f t="shared" si="2"/>
        <v>75.897209985315712</v>
      </c>
    </row>
    <row r="107" spans="2:9" ht="15" customHeight="1">
      <c r="B107" s="323">
        <v>12</v>
      </c>
      <c r="C107" s="313" t="s">
        <v>255</v>
      </c>
      <c r="D107" s="247">
        <v>4796</v>
      </c>
      <c r="E107" s="247">
        <f>'bieu 53_Xong'!F74</f>
        <v>4124.8029999999999</v>
      </c>
      <c r="F107" s="314">
        <f t="shared" si="2"/>
        <v>86.005066722268552</v>
      </c>
    </row>
    <row r="108" spans="2:9" ht="28.5" customHeight="1">
      <c r="B108" s="323">
        <v>13</v>
      </c>
      <c r="C108" s="313" t="s">
        <v>256</v>
      </c>
      <c r="D108" s="247">
        <v>1800</v>
      </c>
      <c r="E108" s="247">
        <f>'bieu 53_Xong'!F75</f>
        <v>1800</v>
      </c>
      <c r="F108" s="314">
        <f t="shared" si="2"/>
        <v>100</v>
      </c>
    </row>
    <row r="109" spans="2:9" ht="28.5" customHeight="1">
      <c r="B109" s="323">
        <v>14</v>
      </c>
      <c r="C109" s="313" t="s">
        <v>1062</v>
      </c>
      <c r="D109" s="247">
        <v>9555</v>
      </c>
      <c r="E109" s="247">
        <f>'bieu 53_Xong'!F76</f>
        <v>9171.42</v>
      </c>
      <c r="F109" s="314">
        <f t="shared" si="2"/>
        <v>95.985557299843009</v>
      </c>
    </row>
    <row r="110" spans="2:9" ht="25.5">
      <c r="B110" s="323">
        <v>15</v>
      </c>
      <c r="C110" s="313" t="s">
        <v>258</v>
      </c>
      <c r="D110" s="247">
        <v>44194</v>
      </c>
      <c r="E110" s="247">
        <f>'bieu 53_Xong'!F77</f>
        <v>43643</v>
      </c>
      <c r="F110" s="314">
        <f t="shared" si="2"/>
        <v>98.753224419604464</v>
      </c>
    </row>
    <row r="111" spans="2:9" ht="30.75" customHeight="1">
      <c r="B111" s="323">
        <v>16</v>
      </c>
      <c r="C111" s="313" t="s">
        <v>259</v>
      </c>
      <c r="D111" s="247">
        <f>D113+D112</f>
        <v>5430</v>
      </c>
      <c r="E111" s="247">
        <f>E113+E112</f>
        <v>5397.9989999999998</v>
      </c>
      <c r="F111" s="314">
        <f t="shared" si="2"/>
        <v>99.410662983425411</v>
      </c>
    </row>
    <row r="112" spans="2:9" ht="27.75" customHeight="1">
      <c r="B112" s="312" t="s">
        <v>260</v>
      </c>
      <c r="C112" s="313" t="s">
        <v>262</v>
      </c>
      <c r="D112" s="247">
        <v>3818</v>
      </c>
      <c r="E112" s="247">
        <f>'bieu 53_Xong'!F79</f>
        <v>3785.9989999999998</v>
      </c>
      <c r="F112" s="314">
        <f t="shared" si="2"/>
        <v>99.161838658983754</v>
      </c>
    </row>
    <row r="113" spans="2:6" ht="25.5" customHeight="1">
      <c r="B113" s="312" t="s">
        <v>261</v>
      </c>
      <c r="C113" s="313" t="s">
        <v>263</v>
      </c>
      <c r="D113" s="247">
        <v>1612</v>
      </c>
      <c r="E113" s="247">
        <f>'bieu 53_Xong'!F80</f>
        <v>1612</v>
      </c>
      <c r="F113" s="314">
        <f t="shared" si="2"/>
        <v>100</v>
      </c>
    </row>
    <row r="114" spans="2:6" ht="15" customHeight="1">
      <c r="B114" s="323">
        <v>17</v>
      </c>
      <c r="C114" s="313" t="s">
        <v>264</v>
      </c>
      <c r="D114" s="247">
        <f>D115+D120+D125+D133+D134+D135+D136+D137+D138</f>
        <v>86040</v>
      </c>
      <c r="E114" s="247">
        <f>E115+E120+E125+E133+E134+E135+E136+E137+E138</f>
        <v>77144.902025999996</v>
      </c>
      <c r="F114" s="314">
        <f t="shared" si="2"/>
        <v>89.661671345885622</v>
      </c>
    </row>
    <row r="115" spans="2:6" ht="27" customHeight="1">
      <c r="B115" s="312" t="s">
        <v>265</v>
      </c>
      <c r="C115" s="313" t="s">
        <v>266</v>
      </c>
      <c r="D115" s="247">
        <v>8155</v>
      </c>
      <c r="E115" s="247">
        <f>'bieu 53_Xong'!F82</f>
        <v>7559.991</v>
      </c>
      <c r="F115" s="314">
        <f t="shared" si="2"/>
        <v>92.703752299202947</v>
      </c>
    </row>
    <row r="116" spans="2:6" ht="15" hidden="1" customHeight="1" outlineLevel="1">
      <c r="B116" s="312" t="s">
        <v>268</v>
      </c>
      <c r="C116" s="313" t="s">
        <v>751</v>
      </c>
      <c r="D116" s="247">
        <v>7000</v>
      </c>
      <c r="E116" s="247"/>
      <c r="F116" s="314">
        <f t="shared" si="2"/>
        <v>0</v>
      </c>
    </row>
    <row r="117" spans="2:6" ht="15" hidden="1" customHeight="1" outlineLevel="1">
      <c r="B117" s="312" t="s">
        <v>269</v>
      </c>
      <c r="C117" s="313" t="s">
        <v>752</v>
      </c>
      <c r="D117" s="247">
        <v>690</v>
      </c>
      <c r="E117" s="247"/>
      <c r="F117" s="314">
        <f t="shared" si="2"/>
        <v>0</v>
      </c>
    </row>
    <row r="118" spans="2:6" ht="26.25" hidden="1" customHeight="1" outlineLevel="1">
      <c r="B118" s="312" t="s">
        <v>270</v>
      </c>
      <c r="C118" s="313" t="s">
        <v>753</v>
      </c>
      <c r="D118" s="247">
        <v>265</v>
      </c>
      <c r="E118" s="247"/>
      <c r="F118" s="314">
        <f t="shared" si="2"/>
        <v>0</v>
      </c>
    </row>
    <row r="119" spans="2:6" ht="24" hidden="1" customHeight="1" outlineLevel="1">
      <c r="B119" s="312" t="s">
        <v>273</v>
      </c>
      <c r="C119" s="313" t="s">
        <v>754</v>
      </c>
      <c r="D119" s="247">
        <v>200</v>
      </c>
      <c r="E119" s="247"/>
      <c r="F119" s="314">
        <f t="shared" si="2"/>
        <v>0</v>
      </c>
    </row>
    <row r="120" spans="2:6" ht="15" customHeight="1" collapsed="1">
      <c r="B120" s="312" t="s">
        <v>267</v>
      </c>
      <c r="C120" s="313" t="s">
        <v>272</v>
      </c>
      <c r="D120" s="247">
        <v>3284</v>
      </c>
      <c r="E120" s="247">
        <f>'bieu 53_Xong'!F83</f>
        <v>2759.212</v>
      </c>
      <c r="F120" s="314">
        <f t="shared" si="2"/>
        <v>84.019853836784407</v>
      </c>
    </row>
    <row r="121" spans="2:6" ht="28.5" hidden="1" customHeight="1" outlineLevel="1">
      <c r="B121" s="312" t="s">
        <v>268</v>
      </c>
      <c r="C121" s="313" t="s">
        <v>274</v>
      </c>
      <c r="D121" s="247">
        <v>200</v>
      </c>
      <c r="E121" s="247"/>
      <c r="F121" s="314">
        <f t="shared" si="2"/>
        <v>0</v>
      </c>
    </row>
    <row r="122" spans="2:6" ht="15" hidden="1" customHeight="1" outlineLevel="1">
      <c r="B122" s="312" t="s">
        <v>269</v>
      </c>
      <c r="C122" s="313" t="s">
        <v>275</v>
      </c>
      <c r="D122" s="247">
        <v>1168</v>
      </c>
      <c r="E122" s="247"/>
      <c r="F122" s="314">
        <f t="shared" si="2"/>
        <v>0</v>
      </c>
    </row>
    <row r="123" spans="2:6" ht="15" hidden="1" customHeight="1" outlineLevel="1">
      <c r="B123" s="312" t="s">
        <v>270</v>
      </c>
      <c r="C123" s="313" t="s">
        <v>276</v>
      </c>
      <c r="D123" s="247">
        <v>616</v>
      </c>
      <c r="E123" s="247"/>
      <c r="F123" s="314">
        <f t="shared" si="2"/>
        <v>0</v>
      </c>
    </row>
    <row r="124" spans="2:6" ht="28.5" hidden="1" customHeight="1" outlineLevel="1">
      <c r="B124" s="312" t="s">
        <v>273</v>
      </c>
      <c r="C124" s="313" t="s">
        <v>277</v>
      </c>
      <c r="D124" s="247">
        <v>1300</v>
      </c>
      <c r="E124" s="247"/>
      <c r="F124" s="314">
        <f t="shared" si="2"/>
        <v>0</v>
      </c>
    </row>
    <row r="125" spans="2:6" ht="15" customHeight="1" collapsed="1">
      <c r="B125" s="312" t="s">
        <v>271</v>
      </c>
      <c r="C125" s="313" t="s">
        <v>279</v>
      </c>
      <c r="D125" s="247">
        <v>5670</v>
      </c>
      <c r="E125" s="247">
        <f>'bieu 53_Xong'!F84</f>
        <v>3966.1619929999997</v>
      </c>
      <c r="F125" s="314">
        <f t="shared" si="2"/>
        <v>69.949946966490302</v>
      </c>
    </row>
    <row r="126" spans="2:6" ht="31.5" hidden="1" customHeight="1" outlineLevel="1">
      <c r="B126" s="312" t="s">
        <v>268</v>
      </c>
      <c r="C126" s="313" t="s">
        <v>282</v>
      </c>
      <c r="D126" s="247">
        <v>710</v>
      </c>
      <c r="E126" s="247"/>
      <c r="F126" s="314">
        <f t="shared" si="2"/>
        <v>0</v>
      </c>
    </row>
    <row r="127" spans="2:6" ht="15" hidden="1" customHeight="1" outlineLevel="1">
      <c r="B127" s="312" t="s">
        <v>269</v>
      </c>
      <c r="C127" s="313" t="s">
        <v>283</v>
      </c>
      <c r="D127" s="247">
        <v>30</v>
      </c>
      <c r="E127" s="247"/>
      <c r="F127" s="314">
        <f t="shared" si="2"/>
        <v>0</v>
      </c>
    </row>
    <row r="128" spans="2:6" ht="15" hidden="1" customHeight="1" outlineLevel="1">
      <c r="B128" s="312" t="s">
        <v>270</v>
      </c>
      <c r="C128" s="313" t="s">
        <v>284</v>
      </c>
      <c r="D128" s="247">
        <v>2560</v>
      </c>
      <c r="E128" s="247"/>
      <c r="F128" s="314">
        <f t="shared" si="2"/>
        <v>0</v>
      </c>
    </row>
    <row r="129" spans="2:6" ht="15" hidden="1" customHeight="1" outlineLevel="1">
      <c r="B129" s="312" t="s">
        <v>273</v>
      </c>
      <c r="C129" s="313" t="s">
        <v>285</v>
      </c>
      <c r="D129" s="247">
        <v>1485</v>
      </c>
      <c r="E129" s="247"/>
      <c r="F129" s="314">
        <f t="shared" si="2"/>
        <v>0</v>
      </c>
    </row>
    <row r="130" spans="2:6" ht="15" hidden="1" customHeight="1" outlineLevel="1">
      <c r="B130" s="312" t="s">
        <v>287</v>
      </c>
      <c r="C130" s="313" t="s">
        <v>286</v>
      </c>
      <c r="D130" s="247">
        <v>310</v>
      </c>
      <c r="E130" s="247"/>
      <c r="F130" s="314">
        <f t="shared" si="2"/>
        <v>0</v>
      </c>
    </row>
    <row r="131" spans="2:6" ht="15" hidden="1" customHeight="1" outlineLevel="1">
      <c r="B131" s="312" t="s">
        <v>280</v>
      </c>
      <c r="C131" s="313" t="s">
        <v>288</v>
      </c>
      <c r="D131" s="247">
        <v>20</v>
      </c>
      <c r="E131" s="247"/>
      <c r="F131" s="314">
        <f t="shared" si="2"/>
        <v>0</v>
      </c>
    </row>
    <row r="132" spans="2:6" ht="15" hidden="1" customHeight="1" outlineLevel="1">
      <c r="B132" s="312" t="s">
        <v>281</v>
      </c>
      <c r="C132" s="313" t="s">
        <v>289</v>
      </c>
      <c r="D132" s="247">
        <v>555</v>
      </c>
      <c r="E132" s="247"/>
      <c r="F132" s="314">
        <f t="shared" si="2"/>
        <v>0</v>
      </c>
    </row>
    <row r="133" spans="2:6" ht="15" customHeight="1" collapsed="1">
      <c r="B133" s="312" t="s">
        <v>278</v>
      </c>
      <c r="C133" s="313" t="s">
        <v>291</v>
      </c>
      <c r="D133" s="247">
        <v>1451</v>
      </c>
      <c r="E133" s="247">
        <f>'bieu 53_Xong'!F85</f>
        <v>1442.8140000000001</v>
      </c>
      <c r="F133" s="314">
        <f t="shared" si="2"/>
        <v>99.435837353549289</v>
      </c>
    </row>
    <row r="134" spans="2:6" ht="15" customHeight="1">
      <c r="B134" s="312" t="s">
        <v>290</v>
      </c>
      <c r="C134" s="313" t="s">
        <v>296</v>
      </c>
      <c r="D134" s="247">
        <v>1880</v>
      </c>
      <c r="E134" s="247">
        <f>'bieu 53_Xong'!F86</f>
        <v>1880</v>
      </c>
      <c r="F134" s="314">
        <f t="shared" si="2"/>
        <v>100</v>
      </c>
    </row>
    <row r="135" spans="2:6" ht="15" customHeight="1">
      <c r="B135" s="312" t="s">
        <v>292</v>
      </c>
      <c r="C135" s="313" t="s">
        <v>297</v>
      </c>
      <c r="D135" s="247">
        <v>33800</v>
      </c>
      <c r="E135" s="247">
        <f>'bieu 53_Xong'!F87</f>
        <v>28268.723032999998</v>
      </c>
      <c r="F135" s="314">
        <f t="shared" si="2"/>
        <v>83.635275245562127</v>
      </c>
    </row>
    <row r="136" spans="2:6" ht="35.25" customHeight="1">
      <c r="B136" s="312" t="s">
        <v>293</v>
      </c>
      <c r="C136" s="313" t="s">
        <v>755</v>
      </c>
      <c r="D136" s="247">
        <v>30000</v>
      </c>
      <c r="E136" s="247">
        <f>'bieu 53_Xong'!F88</f>
        <v>29748</v>
      </c>
      <c r="F136" s="314">
        <f t="shared" si="2"/>
        <v>99.16</v>
      </c>
    </row>
    <row r="137" spans="2:6" ht="26.25" customHeight="1">
      <c r="B137" s="312" t="s">
        <v>294</v>
      </c>
      <c r="C137" s="313" t="s">
        <v>298</v>
      </c>
      <c r="D137" s="247">
        <v>300</v>
      </c>
      <c r="E137" s="247">
        <f>'bieu 53_Xong'!F89</f>
        <v>300</v>
      </c>
      <c r="F137" s="314">
        <f t="shared" si="2"/>
        <v>100</v>
      </c>
    </row>
    <row r="138" spans="2:6" ht="27" customHeight="1">
      <c r="B138" s="312" t="s">
        <v>295</v>
      </c>
      <c r="C138" s="313" t="s">
        <v>299</v>
      </c>
      <c r="D138" s="247">
        <v>1500</v>
      </c>
      <c r="E138" s="247">
        <f>'bieu 53_Xong'!F90</f>
        <v>1220</v>
      </c>
      <c r="F138" s="314">
        <f t="shared" si="2"/>
        <v>81.333333333333329</v>
      </c>
    </row>
    <row r="139" spans="2:6" ht="27" customHeight="1">
      <c r="B139" s="312">
        <v>18</v>
      </c>
      <c r="C139" s="313" t="s">
        <v>757</v>
      </c>
      <c r="D139" s="247">
        <v>248</v>
      </c>
      <c r="E139" s="247">
        <f>'bieu 53_Xong'!F91</f>
        <v>248</v>
      </c>
      <c r="F139" s="314">
        <f t="shared" si="2"/>
        <v>100</v>
      </c>
    </row>
    <row r="140" spans="2:6" ht="27" customHeight="1">
      <c r="B140" s="312">
        <v>19</v>
      </c>
      <c r="C140" s="313" t="s">
        <v>758</v>
      </c>
      <c r="D140" s="247">
        <v>150</v>
      </c>
      <c r="E140" s="247">
        <f>'bieu 53_Xong'!F92</f>
        <v>150</v>
      </c>
      <c r="F140" s="314">
        <f t="shared" si="2"/>
        <v>100</v>
      </c>
    </row>
    <row r="141" spans="2:6" ht="27" customHeight="1">
      <c r="B141" s="312">
        <v>20</v>
      </c>
      <c r="C141" s="313" t="s">
        <v>756</v>
      </c>
      <c r="D141" s="247">
        <v>5000</v>
      </c>
      <c r="E141" s="247">
        <f>'bieu 53_Xong'!F93</f>
        <v>5000</v>
      </c>
      <c r="F141" s="314">
        <f t="shared" si="2"/>
        <v>100</v>
      </c>
    </row>
    <row r="142" spans="2:6">
      <c r="B142" s="276" t="s">
        <v>52</v>
      </c>
      <c r="C142" s="277" t="s">
        <v>130</v>
      </c>
      <c r="D142" s="278"/>
      <c r="E142" s="278">
        <v>2591890.6532199997</v>
      </c>
      <c r="F142" s="311">
        <f t="shared" si="2"/>
        <v>0</v>
      </c>
    </row>
    <row r="143" spans="2:6">
      <c r="B143" s="325" t="s">
        <v>53</v>
      </c>
      <c r="C143" s="326" t="s">
        <v>770</v>
      </c>
      <c r="D143" s="327"/>
      <c r="E143" s="327">
        <v>210027.346089</v>
      </c>
      <c r="F143" s="328">
        <f t="shared" si="2"/>
        <v>0</v>
      </c>
    </row>
    <row r="144" spans="2:6" ht="42.75" customHeight="1">
      <c r="B144" s="523" t="s">
        <v>1012</v>
      </c>
      <c r="C144" s="523"/>
      <c r="D144" s="523"/>
      <c r="E144" s="523"/>
      <c r="F144" s="523"/>
    </row>
    <row r="145" spans="2:6" ht="34.5" customHeight="1">
      <c r="B145" s="524" t="s">
        <v>1049</v>
      </c>
      <c r="C145" s="523"/>
      <c r="D145" s="523"/>
      <c r="E145" s="523"/>
      <c r="F145" s="523"/>
    </row>
  </sheetData>
  <mergeCells count="6">
    <mergeCell ref="B145:F145"/>
    <mergeCell ref="E1:F1"/>
    <mergeCell ref="B2:F2"/>
    <mergeCell ref="B3:F3"/>
    <mergeCell ref="B144:F144"/>
    <mergeCell ref="E4:F4"/>
  </mergeCell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N53"/>
  <sheetViews>
    <sheetView workbookViewId="0">
      <selection activeCell="E5" sqref="E5:F5"/>
    </sheetView>
  </sheetViews>
  <sheetFormatPr defaultColWidth="9.125" defaultRowHeight="15"/>
  <cols>
    <col min="1" max="1" width="5.375" style="365" customWidth="1"/>
    <col min="2" max="2" width="37" style="301" customWidth="1"/>
    <col min="3" max="3" width="13" style="301" customWidth="1"/>
    <col min="4" max="4" width="12.25" style="301" customWidth="1"/>
    <col min="5" max="5" width="11.25" style="301" customWidth="1"/>
    <col min="6" max="6" width="12.125" style="301" customWidth="1"/>
    <col min="7" max="7" width="18.75" style="301" customWidth="1"/>
    <col min="8" max="8" width="11.125" style="301" customWidth="1"/>
    <col min="9" max="16384" width="9.125" style="301"/>
  </cols>
  <sheetData>
    <row r="1" spans="1:14">
      <c r="A1" s="363"/>
      <c r="E1" s="244" t="s">
        <v>704</v>
      </c>
    </row>
    <row r="2" spans="1:14" ht="24.75" customHeight="1">
      <c r="A2" s="521" t="s">
        <v>1040</v>
      </c>
      <c r="B2" s="521"/>
      <c r="C2" s="521"/>
      <c r="D2" s="521"/>
      <c r="E2" s="521"/>
      <c r="F2" s="521"/>
    </row>
    <row r="3" spans="1:14">
      <c r="A3" s="526" t="s">
        <v>871</v>
      </c>
      <c r="B3" s="526"/>
      <c r="C3" s="526"/>
      <c r="D3" s="526"/>
      <c r="E3" s="526"/>
      <c r="F3" s="526"/>
    </row>
    <row r="4" spans="1:14">
      <c r="A4" s="364"/>
    </row>
    <row r="5" spans="1:14">
      <c r="A5" s="364"/>
      <c r="E5" s="527" t="s">
        <v>869</v>
      </c>
      <c r="F5" s="527"/>
    </row>
    <row r="6" spans="1:14">
      <c r="A6" s="529" t="s">
        <v>16</v>
      </c>
      <c r="B6" s="529" t="s">
        <v>64</v>
      </c>
      <c r="C6" s="529" t="s">
        <v>1052</v>
      </c>
      <c r="D6" s="529" t="s">
        <v>19</v>
      </c>
      <c r="E6" s="529" t="s">
        <v>20</v>
      </c>
      <c r="F6" s="529"/>
    </row>
    <row r="7" spans="1:14" ht="25.5">
      <c r="A7" s="529"/>
      <c r="B7" s="529"/>
      <c r="C7" s="529"/>
      <c r="D7" s="529"/>
      <c r="E7" s="486" t="s">
        <v>21</v>
      </c>
      <c r="F7" s="486" t="s">
        <v>1050</v>
      </c>
      <c r="G7" s="309"/>
    </row>
    <row r="8" spans="1:14">
      <c r="A8" s="486" t="s">
        <v>23</v>
      </c>
      <c r="B8" s="366" t="s">
        <v>24</v>
      </c>
      <c r="C8" s="366" t="s">
        <v>422</v>
      </c>
      <c r="D8" s="366" t="s">
        <v>423</v>
      </c>
      <c r="E8" s="486" t="s">
        <v>25</v>
      </c>
      <c r="F8" s="486" t="s">
        <v>26</v>
      </c>
    </row>
    <row r="9" spans="1:14" ht="18" customHeight="1">
      <c r="A9" s="305"/>
      <c r="B9" s="306" t="s">
        <v>42</v>
      </c>
      <c r="C9" s="358">
        <f>C10+C11+C47+C48</f>
        <v>6483942.0010000002</v>
      </c>
      <c r="D9" s="358">
        <f>D10+D11+D47+D48</f>
        <v>7740928.2055780003</v>
      </c>
      <c r="E9" s="358">
        <f>E10+E11+E47+E48</f>
        <v>1256986.2045780004</v>
      </c>
      <c r="F9" s="308">
        <f t="shared" ref="F9:F13" si="0">IF(C9=0,0,D9/C9*100)</f>
        <v>119.3861420164483</v>
      </c>
      <c r="G9" s="309"/>
      <c r="H9" s="309"/>
      <c r="I9" s="309"/>
    </row>
    <row r="10" spans="1:14" ht="25.5">
      <c r="A10" s="276" t="s">
        <v>23</v>
      </c>
      <c r="B10" s="277" t="s">
        <v>131</v>
      </c>
      <c r="C10" s="357">
        <v>2011709</v>
      </c>
      <c r="D10" s="357">
        <v>2011709</v>
      </c>
      <c r="E10" s="357">
        <f t="shared" ref="E10:E13" si="1">D10-C10</f>
        <v>0</v>
      </c>
      <c r="F10" s="311">
        <f t="shared" si="0"/>
        <v>100</v>
      </c>
      <c r="I10" s="309"/>
    </row>
    <row r="11" spans="1:14" ht="25.5">
      <c r="A11" s="276" t="s">
        <v>24</v>
      </c>
      <c r="B11" s="277" t="s">
        <v>132</v>
      </c>
      <c r="C11" s="357">
        <f>C12+C29+C43+C44+C45+C46</f>
        <v>4472233.0010000002</v>
      </c>
      <c r="D11" s="357">
        <f>D12+D29+D43+D44+D45+D46</f>
        <v>3684699.6505560004</v>
      </c>
      <c r="E11" s="357">
        <f t="shared" si="1"/>
        <v>-787533.35044399975</v>
      </c>
      <c r="F11" s="311">
        <f t="shared" si="0"/>
        <v>82.390601065107617</v>
      </c>
      <c r="G11" s="309"/>
      <c r="I11" s="309"/>
    </row>
    <row r="12" spans="1:14">
      <c r="A12" s="276" t="s">
        <v>28</v>
      </c>
      <c r="B12" s="277" t="s">
        <v>133</v>
      </c>
      <c r="C12" s="357">
        <f>C13+C27+C28</f>
        <v>1411880.0010000002</v>
      </c>
      <c r="D12" s="357">
        <f>D13+D27+D28</f>
        <v>1730080.9983000001</v>
      </c>
      <c r="E12" s="357">
        <f t="shared" si="1"/>
        <v>318200.99729999993</v>
      </c>
      <c r="F12" s="311">
        <f t="shared" si="0"/>
        <v>122.53739673871902</v>
      </c>
      <c r="I12" s="309"/>
    </row>
    <row r="13" spans="1:14">
      <c r="A13" s="276">
        <v>1</v>
      </c>
      <c r="B13" s="277" t="s">
        <v>134</v>
      </c>
      <c r="C13" s="357">
        <f>SUM(C14:C26)</f>
        <v>1409036.0010000002</v>
      </c>
      <c r="D13" s="357">
        <f>SUM(D14:D26)</f>
        <v>1722260.9983000001</v>
      </c>
      <c r="E13" s="357">
        <f t="shared" si="1"/>
        <v>313224.99729999993</v>
      </c>
      <c r="F13" s="311">
        <f t="shared" si="0"/>
        <v>122.2297370030079</v>
      </c>
      <c r="J13" s="309"/>
    </row>
    <row r="14" spans="1:14">
      <c r="A14" s="312" t="s">
        <v>30</v>
      </c>
      <c r="B14" s="313" t="s">
        <v>118</v>
      </c>
      <c r="C14" s="359">
        <v>23566.203000000001</v>
      </c>
      <c r="D14" s="359">
        <v>58401.723709999991</v>
      </c>
      <c r="E14" s="359">
        <f>D14-C14</f>
        <v>34835.52070999999</v>
      </c>
      <c r="F14" s="314">
        <f>IF(C14=0,0,D14/C14*100)</f>
        <v>247.81982786959779</v>
      </c>
      <c r="G14" s="309"/>
      <c r="I14" s="309"/>
    </row>
    <row r="15" spans="1:14">
      <c r="A15" s="312" t="s">
        <v>30</v>
      </c>
      <c r="B15" s="313" t="s">
        <v>126</v>
      </c>
      <c r="C15" s="359">
        <v>22000</v>
      </c>
      <c r="D15" s="359">
        <v>16026.487697</v>
      </c>
      <c r="E15" s="359">
        <f>D15-C15</f>
        <v>-5973.5123029999995</v>
      </c>
      <c r="F15" s="314">
        <f t="shared" ref="F15:F28" si="2">IF(C15=0,0,D15/C15*100)</f>
        <v>72.847671349999999</v>
      </c>
      <c r="H15" s="309"/>
      <c r="J15" s="309"/>
      <c r="N15" s="309"/>
    </row>
    <row r="16" spans="1:14">
      <c r="A16" s="312" t="s">
        <v>30</v>
      </c>
      <c r="B16" s="313" t="s">
        <v>135</v>
      </c>
      <c r="C16" s="359">
        <v>19006.545999999998</v>
      </c>
      <c r="D16" s="359">
        <v>65020.071214999996</v>
      </c>
      <c r="E16" s="359">
        <f t="shared" ref="E16:E25" si="3">D16-C16</f>
        <v>46013.525215000001</v>
      </c>
      <c r="F16" s="314">
        <f t="shared" si="2"/>
        <v>342.09304107647966</v>
      </c>
      <c r="J16" s="309"/>
    </row>
    <row r="17" spans="1:10">
      <c r="A17" s="312" t="s">
        <v>30</v>
      </c>
      <c r="B17" s="313" t="s">
        <v>136</v>
      </c>
      <c r="C17" s="359"/>
      <c r="D17" s="360">
        <v>0</v>
      </c>
      <c r="E17" s="314">
        <f t="shared" si="3"/>
        <v>0</v>
      </c>
      <c r="F17" s="314">
        <f t="shared" si="2"/>
        <v>0</v>
      </c>
      <c r="J17" s="309"/>
    </row>
    <row r="18" spans="1:10">
      <c r="A18" s="312" t="s">
        <v>30</v>
      </c>
      <c r="B18" s="313" t="s">
        <v>137</v>
      </c>
      <c r="C18" s="359">
        <v>75334.138999999996</v>
      </c>
      <c r="D18" s="359">
        <v>86642.150076000005</v>
      </c>
      <c r="E18" s="359">
        <f t="shared" si="3"/>
        <v>11308.01107600001</v>
      </c>
      <c r="F18" s="314">
        <f t="shared" si="2"/>
        <v>115.01047363931511</v>
      </c>
    </row>
    <row r="19" spans="1:10">
      <c r="A19" s="312" t="s">
        <v>30</v>
      </c>
      <c r="B19" s="313" t="s">
        <v>138</v>
      </c>
      <c r="C19" s="359">
        <v>5162</v>
      </c>
      <c r="D19" s="359">
        <v>1953.19</v>
      </c>
      <c r="E19" s="359">
        <f t="shared" si="3"/>
        <v>-3208.81</v>
      </c>
      <c r="F19" s="314">
        <f t="shared" si="2"/>
        <v>37.837853545137548</v>
      </c>
    </row>
    <row r="20" spans="1:10">
      <c r="A20" s="312" t="s">
        <v>30</v>
      </c>
      <c r="B20" s="313" t="s">
        <v>139</v>
      </c>
      <c r="C20" s="359">
        <v>9080</v>
      </c>
      <c r="D20" s="359">
        <v>8217.8590000000004</v>
      </c>
      <c r="E20" s="359">
        <f t="shared" si="3"/>
        <v>-862.14099999999962</v>
      </c>
      <c r="F20" s="314">
        <f t="shared" si="2"/>
        <v>90.505055066079294</v>
      </c>
    </row>
    <row r="21" spans="1:10">
      <c r="A21" s="312" t="s">
        <v>30</v>
      </c>
      <c r="B21" s="313" t="s">
        <v>140</v>
      </c>
      <c r="C21" s="359">
        <v>14310</v>
      </c>
      <c r="D21" s="359">
        <v>23960.145949999998</v>
      </c>
      <c r="E21" s="359">
        <f t="shared" si="3"/>
        <v>9650.1459499999983</v>
      </c>
      <c r="F21" s="314">
        <f t="shared" si="2"/>
        <v>167.4363798043326</v>
      </c>
      <c r="H21" s="361"/>
    </row>
    <row r="22" spans="1:10">
      <c r="A22" s="312" t="s">
        <v>30</v>
      </c>
      <c r="B22" s="313" t="s">
        <v>141</v>
      </c>
      <c r="C22" s="359">
        <v>19460</v>
      </c>
      <c r="D22" s="359">
        <v>30336.41346</v>
      </c>
      <c r="E22" s="359">
        <f t="shared" si="3"/>
        <v>10876.41346</v>
      </c>
      <c r="F22" s="314">
        <f t="shared" si="2"/>
        <v>155.89112774922918</v>
      </c>
    </row>
    <row r="23" spans="1:10">
      <c r="A23" s="312" t="s">
        <v>30</v>
      </c>
      <c r="B23" s="313" t="s">
        <v>142</v>
      </c>
      <c r="C23" s="359">
        <f>1201156.543+16100-2844+3180</f>
        <v>1217592.5430000001</v>
      </c>
      <c r="D23" s="359">
        <f>1419532.887068-D46</f>
        <v>1364620.567458</v>
      </c>
      <c r="E23" s="359">
        <f t="shared" si="3"/>
        <v>147028.02445799997</v>
      </c>
      <c r="F23" s="314">
        <f t="shared" si="2"/>
        <v>112.07530592259877</v>
      </c>
    </row>
    <row r="24" spans="1:10" ht="25.5">
      <c r="A24" s="312" t="s">
        <v>30</v>
      </c>
      <c r="B24" s="313" t="s">
        <v>143</v>
      </c>
      <c r="C24" s="359">
        <v>3524.5699999999997</v>
      </c>
      <c r="D24" s="359">
        <v>67082.389733999997</v>
      </c>
      <c r="E24" s="359">
        <f t="shared" si="3"/>
        <v>63557.819733999997</v>
      </c>
      <c r="F24" s="314">
        <f t="shared" si="2"/>
        <v>1903.2786902799489</v>
      </c>
    </row>
    <row r="25" spans="1:10">
      <c r="A25" s="312" t="s">
        <v>30</v>
      </c>
      <c r="B25" s="313" t="s">
        <v>144</v>
      </c>
      <c r="C25" s="359"/>
      <c r="D25" s="360">
        <v>0</v>
      </c>
      <c r="E25" s="360">
        <f t="shared" si="3"/>
        <v>0</v>
      </c>
      <c r="F25" s="314">
        <f t="shared" si="2"/>
        <v>0</v>
      </c>
    </row>
    <row r="26" spans="1:10">
      <c r="A26" s="312" t="s">
        <v>30</v>
      </c>
      <c r="B26" s="313" t="s">
        <v>145</v>
      </c>
      <c r="C26" s="360">
        <v>0</v>
      </c>
      <c r="D26" s="359"/>
      <c r="E26" s="360">
        <v>0</v>
      </c>
      <c r="F26" s="314">
        <f t="shared" si="2"/>
        <v>0</v>
      </c>
    </row>
    <row r="27" spans="1:10" ht="71.25" customHeight="1">
      <c r="A27" s="276">
        <v>2</v>
      </c>
      <c r="B27" s="277" t="s">
        <v>123</v>
      </c>
      <c r="C27" s="357">
        <v>2844</v>
      </c>
      <c r="D27" s="357">
        <v>7820</v>
      </c>
      <c r="E27" s="357">
        <f t="shared" ref="E27:E28" si="4">D27-C27</f>
        <v>4976</v>
      </c>
      <c r="F27" s="311">
        <f t="shared" si="2"/>
        <v>274.9648382559775</v>
      </c>
    </row>
    <row r="28" spans="1:10">
      <c r="A28" s="276">
        <v>3</v>
      </c>
      <c r="B28" s="277" t="s">
        <v>124</v>
      </c>
      <c r="C28" s="357">
        <v>0</v>
      </c>
      <c r="D28" s="357"/>
      <c r="E28" s="357">
        <f t="shared" si="4"/>
        <v>0</v>
      </c>
      <c r="F28" s="311">
        <f t="shared" si="2"/>
        <v>0</v>
      </c>
    </row>
    <row r="29" spans="1:10">
      <c r="A29" s="276" t="s">
        <v>33</v>
      </c>
      <c r="B29" s="277" t="s">
        <v>44</v>
      </c>
      <c r="C29" s="357">
        <f>SUM(C30:C42)</f>
        <v>2111122</v>
      </c>
      <c r="D29" s="357">
        <f t="shared" ref="D29:E29" si="5">SUM(D30:D42)</f>
        <v>1880185.332646</v>
      </c>
      <c r="E29" s="357">
        <f t="shared" si="5"/>
        <v>-230936.66735399998</v>
      </c>
      <c r="F29" s="311">
        <f t="shared" ref="F29:F30" si="6">IF(C29=0,0,D29/C29*100)</f>
        <v>89.060951126746829</v>
      </c>
      <c r="H29" s="309"/>
      <c r="I29" s="309"/>
    </row>
    <row r="30" spans="1:10">
      <c r="A30" s="312" t="s">
        <v>30</v>
      </c>
      <c r="B30" s="313" t="s">
        <v>118</v>
      </c>
      <c r="C30" s="359">
        <f>380322+3688+2331+14081+3408+30000</f>
        <v>433830</v>
      </c>
      <c r="D30" s="359">
        <v>407229.41332200001</v>
      </c>
      <c r="E30" s="359">
        <f t="shared" ref="E30" si="7">D30-C30</f>
        <v>-26600.586677999992</v>
      </c>
      <c r="F30" s="314">
        <f t="shared" si="6"/>
        <v>93.868430795933889</v>
      </c>
      <c r="H30" s="309"/>
      <c r="J30" s="309"/>
    </row>
    <row r="31" spans="1:10">
      <c r="A31" s="312" t="s">
        <v>30</v>
      </c>
      <c r="B31" s="313" t="s">
        <v>146</v>
      </c>
      <c r="C31" s="359">
        <v>14890</v>
      </c>
      <c r="D31" s="359">
        <v>10370</v>
      </c>
      <c r="E31" s="359">
        <f t="shared" ref="E31:E47" si="8">D31-C31</f>
        <v>-4520</v>
      </c>
      <c r="F31" s="314">
        <f t="shared" ref="F31:F47" si="9">IF(C31=0,0,D31/C31*100)</f>
        <v>69.644056413700469</v>
      </c>
    </row>
    <row r="32" spans="1:10">
      <c r="A32" s="312" t="s">
        <v>30</v>
      </c>
      <c r="B32" s="313" t="s">
        <v>135</v>
      </c>
      <c r="C32" s="359">
        <f>44920+5000</f>
        <v>49920</v>
      </c>
      <c r="D32" s="359">
        <v>62463.919324000002</v>
      </c>
      <c r="E32" s="359">
        <f t="shared" si="8"/>
        <v>12543.919324000002</v>
      </c>
      <c r="F32" s="314">
        <f t="shared" si="9"/>
        <v>125.12804351762821</v>
      </c>
    </row>
    <row r="33" spans="1:9">
      <c r="A33" s="312" t="s">
        <v>30</v>
      </c>
      <c r="B33" s="313" t="s">
        <v>136</v>
      </c>
      <c r="C33" s="359">
        <f>12379+8600+1880</f>
        <v>22859</v>
      </c>
      <c r="D33" s="359">
        <v>20381</v>
      </c>
      <c r="E33" s="359">
        <f t="shared" si="8"/>
        <v>-2478</v>
      </c>
      <c r="F33" s="314">
        <f t="shared" si="9"/>
        <v>89.159630779999119</v>
      </c>
    </row>
    <row r="34" spans="1:9">
      <c r="A34" s="312" t="s">
        <v>30</v>
      </c>
      <c r="B34" s="313" t="s">
        <v>137</v>
      </c>
      <c r="C34" s="359">
        <f>483830+4315+4177+2657+83651+11957+11506+5670</f>
        <v>607763</v>
      </c>
      <c r="D34" s="359">
        <v>596269</v>
      </c>
      <c r="E34" s="359">
        <f t="shared" si="8"/>
        <v>-11494</v>
      </c>
      <c r="F34" s="314">
        <f t="shared" si="9"/>
        <v>98.108802279836056</v>
      </c>
    </row>
    <row r="35" spans="1:9">
      <c r="A35" s="312" t="s">
        <v>30</v>
      </c>
      <c r="B35" s="313" t="s">
        <v>138</v>
      </c>
      <c r="C35" s="359">
        <f>41721+570+1451</f>
        <v>43742</v>
      </c>
      <c r="D35" s="359">
        <v>30957</v>
      </c>
      <c r="E35" s="359">
        <f t="shared" si="8"/>
        <v>-12785</v>
      </c>
      <c r="F35" s="314">
        <f t="shared" si="9"/>
        <v>70.771798271683963</v>
      </c>
    </row>
    <row r="36" spans="1:9">
      <c r="A36" s="312" t="s">
        <v>30</v>
      </c>
      <c r="B36" s="313" t="s">
        <v>139</v>
      </c>
      <c r="C36" s="359">
        <v>15556</v>
      </c>
      <c r="D36" s="359">
        <v>15762</v>
      </c>
      <c r="E36" s="359">
        <f t="shared" si="8"/>
        <v>206</v>
      </c>
      <c r="F36" s="314">
        <f t="shared" si="9"/>
        <v>101.32424787863204</v>
      </c>
    </row>
    <row r="37" spans="1:9">
      <c r="A37" s="312" t="s">
        <v>30</v>
      </c>
      <c r="B37" s="313" t="s">
        <v>140</v>
      </c>
      <c r="C37" s="359">
        <v>10077</v>
      </c>
      <c r="D37" s="359">
        <v>10450</v>
      </c>
      <c r="E37" s="359">
        <f t="shared" si="8"/>
        <v>373</v>
      </c>
      <c r="F37" s="314">
        <f t="shared" si="9"/>
        <v>103.7014984618438</v>
      </c>
    </row>
    <row r="38" spans="1:9">
      <c r="A38" s="312" t="s">
        <v>30</v>
      </c>
      <c r="B38" s="313" t="s">
        <v>141</v>
      </c>
      <c r="C38" s="359">
        <f>5635+300</f>
        <v>5935</v>
      </c>
      <c r="D38" s="359">
        <v>5836</v>
      </c>
      <c r="E38" s="359">
        <f t="shared" si="8"/>
        <v>-99</v>
      </c>
      <c r="F38" s="314">
        <f t="shared" si="9"/>
        <v>98.331929233361421</v>
      </c>
    </row>
    <row r="39" spans="1:9">
      <c r="A39" s="312" t="s">
        <v>30</v>
      </c>
      <c r="B39" s="313" t="s">
        <v>142</v>
      </c>
      <c r="C39" s="359">
        <f>187738+4000+16000+118181+10215+2145+1800+44194+1612+31302+1500+13372</f>
        <v>432059</v>
      </c>
      <c r="D39" s="359">
        <v>340992</v>
      </c>
      <c r="E39" s="359">
        <f t="shared" si="8"/>
        <v>-91067</v>
      </c>
      <c r="F39" s="314">
        <f t="shared" si="9"/>
        <v>78.922554558520943</v>
      </c>
    </row>
    <row r="40" spans="1:9" ht="25.5">
      <c r="A40" s="312" t="s">
        <v>30</v>
      </c>
      <c r="B40" s="313" t="s">
        <v>143</v>
      </c>
      <c r="C40" s="359">
        <f>353371+248+150</f>
        <v>353769</v>
      </c>
      <c r="D40" s="359">
        <v>342489</v>
      </c>
      <c r="E40" s="359">
        <f t="shared" si="8"/>
        <v>-11280</v>
      </c>
      <c r="F40" s="314">
        <f t="shared" si="9"/>
        <v>96.811478676763656</v>
      </c>
    </row>
    <row r="41" spans="1:9">
      <c r="A41" s="312" t="s">
        <v>30</v>
      </c>
      <c r="B41" s="313" t="s">
        <v>144</v>
      </c>
      <c r="C41" s="359">
        <f>35707+20229+7680+2046</f>
        <v>65662</v>
      </c>
      <c r="D41" s="359">
        <v>20798</v>
      </c>
      <c r="E41" s="359">
        <f t="shared" si="8"/>
        <v>-44864</v>
      </c>
      <c r="F41" s="314">
        <f t="shared" si="9"/>
        <v>31.674332186043682</v>
      </c>
    </row>
    <row r="42" spans="1:9">
      <c r="A42" s="312" t="s">
        <v>30</v>
      </c>
      <c r="B42" s="313" t="s">
        <v>147</v>
      </c>
      <c r="C42" s="359">
        <f>55060</f>
        <v>55060</v>
      </c>
      <c r="D42" s="359">
        <v>16188</v>
      </c>
      <c r="E42" s="359">
        <f t="shared" si="8"/>
        <v>-38872</v>
      </c>
      <c r="F42" s="314">
        <f t="shared" si="9"/>
        <v>29.400653832183071</v>
      </c>
    </row>
    <row r="43" spans="1:9" ht="25.5">
      <c r="A43" s="276" t="s">
        <v>37</v>
      </c>
      <c r="B43" s="277" t="s">
        <v>1092</v>
      </c>
      <c r="C43" s="357">
        <v>1300</v>
      </c>
      <c r="D43" s="357">
        <v>18521</v>
      </c>
      <c r="E43" s="357">
        <f t="shared" si="8"/>
        <v>17221</v>
      </c>
      <c r="F43" s="311">
        <f t="shared" si="9"/>
        <v>1424.6923076923076</v>
      </c>
      <c r="I43" s="477"/>
    </row>
    <row r="44" spans="1:9">
      <c r="A44" s="276" t="s">
        <v>39</v>
      </c>
      <c r="B44" s="277" t="s">
        <v>148</v>
      </c>
      <c r="C44" s="357">
        <v>1000</v>
      </c>
      <c r="D44" s="357">
        <v>1000</v>
      </c>
      <c r="E44" s="357">
        <f t="shared" si="8"/>
        <v>0</v>
      </c>
      <c r="F44" s="311">
        <f t="shared" si="9"/>
        <v>100</v>
      </c>
    </row>
    <row r="45" spans="1:9">
      <c r="A45" s="276" t="s">
        <v>40</v>
      </c>
      <c r="B45" s="277" t="s">
        <v>46</v>
      </c>
      <c r="C45" s="357">
        <v>66931</v>
      </c>
      <c r="D45" s="357"/>
      <c r="E45" s="357">
        <f t="shared" si="8"/>
        <v>-66931</v>
      </c>
      <c r="F45" s="311">
        <f t="shared" si="9"/>
        <v>0</v>
      </c>
    </row>
    <row r="46" spans="1:9" ht="38.25">
      <c r="A46" s="276" t="s">
        <v>127</v>
      </c>
      <c r="B46" s="277" t="s">
        <v>761</v>
      </c>
      <c r="C46" s="357">
        <v>880000</v>
      </c>
      <c r="D46" s="357">
        <f>'Bieu 48_Xong'!E29</f>
        <v>54912.319609999999</v>
      </c>
      <c r="E46" s="357">
        <f t="shared" si="8"/>
        <v>-825087.68038999999</v>
      </c>
      <c r="F46" s="311">
        <f t="shared" si="9"/>
        <v>6.2400363193181816</v>
      </c>
    </row>
    <row r="47" spans="1:9">
      <c r="A47" s="276" t="s">
        <v>52</v>
      </c>
      <c r="B47" s="277" t="s">
        <v>130</v>
      </c>
      <c r="C47" s="357"/>
      <c r="D47" s="357">
        <v>1859411.5550220001</v>
      </c>
      <c r="E47" s="357">
        <f t="shared" si="8"/>
        <v>1859411.5550220001</v>
      </c>
      <c r="F47" s="311">
        <f t="shared" si="9"/>
        <v>0</v>
      </c>
      <c r="I47" s="309"/>
    </row>
    <row r="48" spans="1:9">
      <c r="A48" s="325" t="s">
        <v>53</v>
      </c>
      <c r="B48" s="326" t="s">
        <v>1042</v>
      </c>
      <c r="C48" s="362"/>
      <c r="D48" s="362">
        <v>185108</v>
      </c>
      <c r="E48" s="362">
        <f t="shared" ref="E48" si="10">D48-C48</f>
        <v>185108</v>
      </c>
      <c r="F48" s="328">
        <f t="shared" ref="F48" si="11">IF(C48=0,0,D48/C48*100)</f>
        <v>0</v>
      </c>
    </row>
    <row r="49" spans="1:6" ht="30" customHeight="1">
      <c r="A49" s="528" t="s">
        <v>1013</v>
      </c>
      <c r="B49" s="528"/>
      <c r="C49" s="528"/>
      <c r="D49" s="528"/>
      <c r="E49" s="528"/>
      <c r="F49" s="528"/>
    </row>
    <row r="50" spans="1:6" ht="34.5" customHeight="1">
      <c r="A50" s="525" t="s">
        <v>149</v>
      </c>
      <c r="B50" s="525"/>
      <c r="C50" s="525"/>
      <c r="D50" s="525"/>
      <c r="E50" s="525"/>
      <c r="F50" s="525"/>
    </row>
    <row r="51" spans="1:6" ht="34.5" customHeight="1">
      <c r="A51" s="525" t="s">
        <v>1051</v>
      </c>
      <c r="B51" s="525"/>
      <c r="C51" s="525"/>
      <c r="D51" s="525"/>
      <c r="E51" s="525"/>
      <c r="F51" s="525"/>
    </row>
    <row r="52" spans="1:6" ht="48" customHeight="1">
      <c r="A52" s="525" t="s">
        <v>1063</v>
      </c>
      <c r="B52" s="525"/>
      <c r="C52" s="525"/>
      <c r="D52" s="525"/>
      <c r="E52" s="525"/>
      <c r="F52" s="525"/>
    </row>
    <row r="53" spans="1:6">
      <c r="A53" s="525"/>
      <c r="B53" s="525"/>
      <c r="C53" s="525"/>
      <c r="D53" s="525"/>
      <c r="E53" s="525"/>
      <c r="F53" s="525"/>
    </row>
  </sheetData>
  <mergeCells count="13">
    <mergeCell ref="A52:F52"/>
    <mergeCell ref="A53:F53"/>
    <mergeCell ref="A2:F2"/>
    <mergeCell ref="A3:F3"/>
    <mergeCell ref="E5:F5"/>
    <mergeCell ref="A49:F49"/>
    <mergeCell ref="A50:F50"/>
    <mergeCell ref="A6:A7"/>
    <mergeCell ref="B6:B7"/>
    <mergeCell ref="C6:C7"/>
    <mergeCell ref="D6:D7"/>
    <mergeCell ref="E6:F6"/>
    <mergeCell ref="A51:F51"/>
  </mergeCells>
  <dataValidations count="1">
    <dataValidation allowBlank="1" showInputMessage="1" showErrorMessage="1" prompt="Dự toán đầu năm: 4.451.655 tr.đ_x000a_Điều chỉnh tăng dự toán đầu năm chi ngân sách cấp tỉnh tại văn bản 3.421 của UBND tỉnh: 20.578 tr.đ_x000a_" sqref="C11" xr:uid="{00000000-0002-0000-0500-000000000000}"/>
  </dataValidations>
  <pageMargins left="0.7" right="0.7" top="0.75" bottom="0.75" header="0.3" footer="0.3"/>
  <pageSetup orientation="portrait" verticalDpi="0" r:id="rId1"/>
  <ignoredErrors>
    <ignoredError sqref="D1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M98"/>
  <sheetViews>
    <sheetView showZeros="0" zoomScaleNormal="100" workbookViewId="0">
      <pane ySplit="6" topLeftCell="A7" activePane="bottomLeft" state="frozen"/>
      <selection pane="bottomLeft" activeCell="K18" sqref="K18"/>
    </sheetView>
  </sheetViews>
  <sheetFormatPr defaultColWidth="9.125" defaultRowHeight="15" outlineLevelRow="1"/>
  <cols>
    <col min="1" max="1" width="9.125" style="241"/>
    <col min="2" max="2" width="38.125" style="241" customWidth="1"/>
    <col min="3" max="3" width="11.875" style="241" customWidth="1"/>
    <col min="4" max="4" width="10.75" style="241" customWidth="1"/>
    <col min="5" max="5" width="11" style="241" customWidth="1"/>
    <col min="6" max="8" width="10" style="241" bestFit="1" customWidth="1"/>
    <col min="9" max="9" width="11.375" style="241" bestFit="1" customWidth="1"/>
    <col min="10" max="11" width="9.125" style="241"/>
    <col min="12" max="12" width="29.75" style="241" customWidth="1"/>
    <col min="13" max="13" width="10.125" style="241" bestFit="1" customWidth="1"/>
    <col min="14" max="16384" width="9.125" style="241"/>
  </cols>
  <sheetData>
    <row r="1" spans="1:13">
      <c r="A1" s="240"/>
      <c r="J1" s="530" t="s">
        <v>1010</v>
      </c>
      <c r="K1" s="530"/>
    </row>
    <row r="2" spans="1:13" ht="33" customHeight="1">
      <c r="A2" s="532" t="s">
        <v>938</v>
      </c>
      <c r="B2" s="532"/>
      <c r="C2" s="532"/>
      <c r="D2" s="532"/>
      <c r="E2" s="532"/>
      <c r="F2" s="532"/>
      <c r="G2" s="532"/>
      <c r="H2" s="532"/>
      <c r="I2" s="532"/>
      <c r="J2" s="532"/>
      <c r="K2" s="532"/>
    </row>
    <row r="3" spans="1:13" ht="15.75" customHeight="1">
      <c r="A3" s="526" t="s">
        <v>871</v>
      </c>
      <c r="B3" s="526"/>
      <c r="C3" s="526"/>
      <c r="D3" s="526"/>
      <c r="E3" s="526"/>
      <c r="F3" s="526"/>
      <c r="G3" s="526"/>
      <c r="H3" s="526"/>
      <c r="I3" s="526"/>
      <c r="J3" s="526"/>
      <c r="K3" s="526"/>
    </row>
    <row r="4" spans="1:13">
      <c r="J4" s="533" t="s">
        <v>869</v>
      </c>
      <c r="K4" s="533"/>
    </row>
    <row r="5" spans="1:13">
      <c r="A5" s="513" t="s">
        <v>16</v>
      </c>
      <c r="B5" s="513" t="s">
        <v>17</v>
      </c>
      <c r="C5" s="513" t="s">
        <v>1053</v>
      </c>
      <c r="D5" s="513" t="s">
        <v>150</v>
      </c>
      <c r="E5" s="513"/>
      <c r="F5" s="513" t="s">
        <v>19</v>
      </c>
      <c r="G5" s="513" t="s">
        <v>150</v>
      </c>
      <c r="H5" s="513"/>
      <c r="I5" s="513" t="s">
        <v>65</v>
      </c>
      <c r="J5" s="513"/>
      <c r="K5" s="513"/>
    </row>
    <row r="6" spans="1:13" ht="45.75" customHeight="1">
      <c r="A6" s="513"/>
      <c r="B6" s="513"/>
      <c r="C6" s="513"/>
      <c r="D6" s="485" t="s">
        <v>939</v>
      </c>
      <c r="E6" s="485" t="s">
        <v>940</v>
      </c>
      <c r="F6" s="513"/>
      <c r="G6" s="485" t="s">
        <v>939</v>
      </c>
      <c r="H6" s="485" t="s">
        <v>940</v>
      </c>
      <c r="I6" s="485" t="s">
        <v>151</v>
      </c>
      <c r="J6" s="485" t="s">
        <v>941</v>
      </c>
      <c r="K6" s="485" t="s">
        <v>942</v>
      </c>
    </row>
    <row r="7" spans="1:13">
      <c r="A7" s="485" t="s">
        <v>23</v>
      </c>
      <c r="B7" s="485" t="s">
        <v>24</v>
      </c>
      <c r="C7" s="485" t="s">
        <v>152</v>
      </c>
      <c r="D7" s="485">
        <v>2</v>
      </c>
      <c r="E7" s="485">
        <v>3</v>
      </c>
      <c r="F7" s="485" t="s">
        <v>153</v>
      </c>
      <c r="G7" s="485">
        <v>5</v>
      </c>
      <c r="H7" s="485">
        <v>6</v>
      </c>
      <c r="I7" s="485" t="s">
        <v>154</v>
      </c>
      <c r="J7" s="485" t="s">
        <v>155</v>
      </c>
      <c r="K7" s="485" t="s">
        <v>156</v>
      </c>
    </row>
    <row r="8" spans="1:13">
      <c r="A8" s="279"/>
      <c r="B8" s="280" t="s">
        <v>42</v>
      </c>
      <c r="C8" s="205">
        <f>C9+C30+C94</f>
        <v>8277847</v>
      </c>
      <c r="D8" s="205">
        <f>D9+D30+D94</f>
        <v>4472233.0010000002</v>
      </c>
      <c r="E8" s="205">
        <f>E9+E30+E94</f>
        <v>3805613.9989999998</v>
      </c>
      <c r="F8" s="205">
        <f>G8+H8</f>
        <v>10817727.622931</v>
      </c>
      <c r="G8" s="205">
        <f>G9+G30+G94+G95</f>
        <v>5729218.9770490006</v>
      </c>
      <c r="H8" s="205">
        <f>H9+H30+H94+H95</f>
        <v>5088508.6458820002</v>
      </c>
      <c r="I8" s="281">
        <f t="shared" ref="I8" si="0">IF(C8=0,0,F8/C8*100)</f>
        <v>130.68286503641588</v>
      </c>
      <c r="J8" s="281">
        <f t="shared" ref="J8" si="1">IF(D8=0,0,G8/D8*100)</f>
        <v>128.10645097802228</v>
      </c>
      <c r="K8" s="281">
        <f t="shared" ref="K8" si="2">IF(E8=0,0,H8/E8*100)</f>
        <v>133.71058250308903</v>
      </c>
      <c r="L8" s="242"/>
      <c r="M8" s="242"/>
    </row>
    <row r="9" spans="1:13" ht="25.5">
      <c r="A9" s="282" t="s">
        <v>23</v>
      </c>
      <c r="B9" s="283" t="s">
        <v>965</v>
      </c>
      <c r="C9" s="235">
        <f>C10+C29</f>
        <v>6295073</v>
      </c>
      <c r="D9" s="235">
        <f>D10+D29</f>
        <v>3102126.0010000002</v>
      </c>
      <c r="E9" s="235">
        <f t="shared" ref="E9" si="3">E10+E29</f>
        <v>3192946.9989999998</v>
      </c>
      <c r="F9" s="235">
        <f>F10+F29</f>
        <v>5893438.539979999</v>
      </c>
      <c r="G9" s="235">
        <f>G10+G29</f>
        <v>2177667.4051260003</v>
      </c>
      <c r="H9" s="235">
        <f>H10+H29</f>
        <v>3715771.1348539991</v>
      </c>
      <c r="I9" s="284">
        <f t="shared" ref="I9:K11" si="4">IF(C9=0,0,F9/C9*100)</f>
        <v>93.619860166514329</v>
      </c>
      <c r="J9" s="284">
        <f t="shared" si="4"/>
        <v>70.199192567420155</v>
      </c>
      <c r="K9" s="284">
        <f t="shared" si="4"/>
        <v>116.37434432885176</v>
      </c>
      <c r="L9" s="242"/>
    </row>
    <row r="10" spans="1:13">
      <c r="A10" s="282" t="s">
        <v>966</v>
      </c>
      <c r="B10" s="283" t="s">
        <v>157</v>
      </c>
      <c r="C10" s="235">
        <f>C11+C21+C25+C26+C27+C28</f>
        <v>6278973</v>
      </c>
      <c r="D10" s="235">
        <f t="shared" ref="D10:E10" si="5">D11+D21+D25+D26+D27+D28</f>
        <v>3086026.0010000002</v>
      </c>
      <c r="E10" s="235">
        <f t="shared" si="5"/>
        <v>3192946.9989999998</v>
      </c>
      <c r="F10" s="235">
        <f>F11+F21+F25+F26+F27+F28</f>
        <v>5882726.3525759988</v>
      </c>
      <c r="G10" s="235">
        <f>G11+G21+G25+G26+G27+G28</f>
        <v>2166955.2177220001</v>
      </c>
      <c r="H10" s="235">
        <f>H11+H21+H25+H26+H27+H28</f>
        <v>3715771.1348539991</v>
      </c>
      <c r="I10" s="284">
        <f t="shared" si="4"/>
        <v>93.689307989953122</v>
      </c>
      <c r="J10" s="284">
        <f t="shared" si="4"/>
        <v>70.218307202201686</v>
      </c>
      <c r="K10" s="284">
        <f t="shared" si="4"/>
        <v>116.37434432885176</v>
      </c>
    </row>
    <row r="11" spans="1:13">
      <c r="A11" s="282" t="s">
        <v>28</v>
      </c>
      <c r="B11" s="283" t="s">
        <v>43</v>
      </c>
      <c r="C11" s="285">
        <f>C12+C19+C20</f>
        <v>825372</v>
      </c>
      <c r="D11" s="285">
        <f>D12+D19+D20</f>
        <v>495589.00099999999</v>
      </c>
      <c r="E11" s="285">
        <f t="shared" ref="E11:E67" si="6">C11-D11</f>
        <v>329782.99900000001</v>
      </c>
      <c r="F11" s="235">
        <f t="shared" ref="F11" si="7">G11+H11</f>
        <v>1228339.7171729999</v>
      </c>
      <c r="G11" s="286">
        <f>G12+G19+G20</f>
        <v>526179.54010899994</v>
      </c>
      <c r="H11" s="286">
        <f>H12+H19+H20</f>
        <v>702160.17706399981</v>
      </c>
      <c r="I11" s="284">
        <f t="shared" si="4"/>
        <v>148.82255724364285</v>
      </c>
      <c r="J11" s="284">
        <f t="shared" si="4"/>
        <v>106.17256215276657</v>
      </c>
      <c r="K11" s="284">
        <f t="shared" si="4"/>
        <v>212.91582015845512</v>
      </c>
    </row>
    <row r="12" spans="1:13">
      <c r="A12" s="99">
        <v>1</v>
      </c>
      <c r="B12" s="100" t="s">
        <v>134</v>
      </c>
      <c r="C12" s="217">
        <f>825372-C19</f>
        <v>822528</v>
      </c>
      <c r="D12" s="217">
        <f>495589.001-D19</f>
        <v>492745.00099999999</v>
      </c>
      <c r="E12" s="217">
        <f>C12-D12</f>
        <v>329782.99900000001</v>
      </c>
      <c r="F12" s="287">
        <f>'Bieu 51_Xong'!E11</f>
        <v>1220519.7125190001</v>
      </c>
      <c r="G12" s="288">
        <f>518359.240109+0.3</f>
        <v>518359.54010899999</v>
      </c>
      <c r="H12" s="288">
        <v>702160.17706399981</v>
      </c>
      <c r="I12" s="289">
        <f t="shared" ref="I12:I75" si="8">IF(C12=0,0,F12/C12*100)</f>
        <v>148.3864029575893</v>
      </c>
      <c r="J12" s="289">
        <f t="shared" ref="J12:J75" si="9">IF(D12=0,0,G12/D12*100)</f>
        <v>105.19833566185687</v>
      </c>
      <c r="K12" s="289">
        <f t="shared" ref="K12:K75" si="10">IF(E12=0,0,H12/E12*100)</f>
        <v>212.91582015845512</v>
      </c>
    </row>
    <row r="13" spans="1:13">
      <c r="A13" s="99"/>
      <c r="B13" s="290" t="s">
        <v>117</v>
      </c>
      <c r="C13" s="217"/>
      <c r="D13" s="217"/>
      <c r="E13" s="217">
        <f t="shared" ref="E13:E20" si="11">C13-D13</f>
        <v>0</v>
      </c>
      <c r="F13" s="99"/>
      <c r="G13" s="288"/>
      <c r="H13" s="288"/>
      <c r="I13" s="289">
        <f t="shared" si="8"/>
        <v>0</v>
      </c>
      <c r="J13" s="289">
        <f t="shared" si="9"/>
        <v>0</v>
      </c>
      <c r="K13" s="289">
        <f t="shared" si="10"/>
        <v>0</v>
      </c>
    </row>
    <row r="14" spans="1:13">
      <c r="A14" s="99" t="s">
        <v>30</v>
      </c>
      <c r="B14" s="290" t="s">
        <v>118</v>
      </c>
      <c r="C14" s="217">
        <f>D14+E14</f>
        <v>63797.473280999999</v>
      </c>
      <c r="D14" s="217">
        <v>8725.8109999999997</v>
      </c>
      <c r="E14" s="217">
        <f>'Bieu 58_Xong'!E10</f>
        <v>55071.662280999997</v>
      </c>
      <c r="F14" s="287">
        <f>G14+H14</f>
        <v>128744.078041</v>
      </c>
      <c r="G14" s="288">
        <v>15844.788999999999</v>
      </c>
      <c r="H14" s="288">
        <f>'Bieu 58_Xong'!R10</f>
        <v>112899.289041</v>
      </c>
      <c r="I14" s="289">
        <f t="shared" si="8"/>
        <v>201.8012178537833</v>
      </c>
      <c r="J14" s="289">
        <f t="shared" si="9"/>
        <v>181.58528760249334</v>
      </c>
      <c r="K14" s="289">
        <f t="shared" si="10"/>
        <v>205.0043241203395</v>
      </c>
    </row>
    <row r="15" spans="1:13">
      <c r="A15" s="99" t="s">
        <v>30</v>
      </c>
      <c r="B15" s="290" t="s">
        <v>126</v>
      </c>
      <c r="C15" s="217">
        <v>22000</v>
      </c>
      <c r="D15" s="217">
        <v>22000</v>
      </c>
      <c r="E15" s="217">
        <f t="shared" si="11"/>
        <v>0</v>
      </c>
      <c r="F15" s="287">
        <f t="shared" ref="F15" si="12">G15+H15</f>
        <v>16028.706697</v>
      </c>
      <c r="G15" s="288">
        <v>16026.487697</v>
      </c>
      <c r="H15" s="288">
        <f>'Bieu 51_Xong'!E14-'bieu 53_Xong'!G15</f>
        <v>2.2189999999991414</v>
      </c>
      <c r="I15" s="289">
        <f t="shared" si="8"/>
        <v>72.85775771363636</v>
      </c>
      <c r="J15" s="289">
        <f t="shared" si="9"/>
        <v>72.847671349999999</v>
      </c>
      <c r="K15" s="289">
        <f t="shared" si="10"/>
        <v>0</v>
      </c>
    </row>
    <row r="16" spans="1:13">
      <c r="A16" s="99"/>
      <c r="B16" s="290" t="s">
        <v>120</v>
      </c>
      <c r="C16" s="217"/>
      <c r="D16" s="217"/>
      <c r="E16" s="217">
        <f t="shared" si="11"/>
        <v>0</v>
      </c>
      <c r="F16" s="99"/>
      <c r="G16" s="288"/>
      <c r="H16" s="288"/>
      <c r="I16" s="289">
        <f t="shared" si="8"/>
        <v>0</v>
      </c>
      <c r="J16" s="289">
        <f t="shared" si="9"/>
        <v>0</v>
      </c>
      <c r="K16" s="289">
        <f t="shared" si="10"/>
        <v>0</v>
      </c>
    </row>
    <row r="17" spans="1:12">
      <c r="A17" s="99" t="s">
        <v>30</v>
      </c>
      <c r="B17" s="290" t="s">
        <v>121</v>
      </c>
      <c r="C17" s="217">
        <f>D17+E17</f>
        <v>197156</v>
      </c>
      <c r="D17" s="217">
        <f>68737-D19</f>
        <v>65893</v>
      </c>
      <c r="E17" s="217">
        <f>6127+125136</f>
        <v>131263</v>
      </c>
      <c r="F17" s="287">
        <f t="shared" ref="F17:F18" si="13">G17+H17</f>
        <v>135531.02574900002</v>
      </c>
      <c r="G17" s="288">
        <v>135531.02574900002</v>
      </c>
      <c r="H17" s="288"/>
      <c r="I17" s="289">
        <f t="shared" si="8"/>
        <v>68.743038887479983</v>
      </c>
      <c r="J17" s="289">
        <f t="shared" si="9"/>
        <v>205.6834955898199</v>
      </c>
      <c r="K17" s="289">
        <f t="shared" si="10"/>
        <v>0</v>
      </c>
    </row>
    <row r="18" spans="1:12">
      <c r="A18" s="99" t="s">
        <v>30</v>
      </c>
      <c r="B18" s="290" t="s">
        <v>122</v>
      </c>
      <c r="C18" s="217">
        <v>85000</v>
      </c>
      <c r="D18" s="217">
        <v>85000</v>
      </c>
      <c r="E18" s="217">
        <f t="shared" si="11"/>
        <v>0</v>
      </c>
      <c r="F18" s="287">
        <f t="shared" si="13"/>
        <v>100844.6722</v>
      </c>
      <c r="G18" s="288">
        <v>100844.6722</v>
      </c>
      <c r="H18" s="288"/>
      <c r="I18" s="289">
        <f t="shared" si="8"/>
        <v>118.64079082352941</v>
      </c>
      <c r="J18" s="289">
        <f t="shared" si="9"/>
        <v>118.64079082352941</v>
      </c>
      <c r="K18" s="289">
        <f t="shared" si="10"/>
        <v>0</v>
      </c>
    </row>
    <row r="19" spans="1:12" ht="51">
      <c r="A19" s="99">
        <v>2</v>
      </c>
      <c r="B19" s="100" t="s">
        <v>123</v>
      </c>
      <c r="C19" s="101">
        <f>D19+E19</f>
        <v>2844</v>
      </c>
      <c r="D19" s="101">
        <f>'bieu 52_Xong'!C27</f>
        <v>2844</v>
      </c>
      <c r="E19" s="217"/>
      <c r="F19" s="101">
        <f>G19+H19</f>
        <v>7820</v>
      </c>
      <c r="G19" s="101">
        <v>7820</v>
      </c>
      <c r="H19" s="101"/>
      <c r="I19" s="289">
        <f t="shared" si="8"/>
        <v>274.9648382559775</v>
      </c>
      <c r="J19" s="289">
        <f t="shared" si="9"/>
        <v>274.9648382559775</v>
      </c>
      <c r="K19" s="289">
        <f t="shared" si="10"/>
        <v>0</v>
      </c>
    </row>
    <row r="20" spans="1:12">
      <c r="A20" s="99">
        <v>3</v>
      </c>
      <c r="B20" s="100" t="s">
        <v>124</v>
      </c>
      <c r="C20" s="101">
        <v>0</v>
      </c>
      <c r="D20" s="101">
        <v>0</v>
      </c>
      <c r="E20" s="217">
        <f t="shared" si="11"/>
        <v>0</v>
      </c>
      <c r="F20" s="101"/>
      <c r="G20" s="101"/>
      <c r="H20" s="101"/>
      <c r="I20" s="289">
        <f t="shared" si="8"/>
        <v>0</v>
      </c>
      <c r="J20" s="289">
        <f t="shared" si="9"/>
        <v>0</v>
      </c>
      <c r="K20" s="289">
        <f t="shared" si="10"/>
        <v>0</v>
      </c>
    </row>
    <row r="21" spans="1:12" s="240" customFormat="1" ht="14.25">
      <c r="A21" s="282" t="s">
        <v>33</v>
      </c>
      <c r="B21" s="283" t="s">
        <v>44</v>
      </c>
      <c r="C21" s="285">
        <v>4445685</v>
      </c>
      <c r="D21" s="285">
        <v>1641206</v>
      </c>
      <c r="E21" s="285">
        <f>C21-D21</f>
        <v>2804479</v>
      </c>
      <c r="F21" s="285">
        <f>G21+H21</f>
        <v>4579953.3867929997</v>
      </c>
      <c r="G21" s="285">
        <f>1880184.894839-G38-'Bieu 61_Xong'!V13</f>
        <v>1566342.429003</v>
      </c>
      <c r="H21" s="285">
        <f>'Bieu 51_Xong'!E20-'bieu 53_Xong'!G21</f>
        <v>3013610.9577899994</v>
      </c>
      <c r="I21" s="284">
        <f t="shared" si="8"/>
        <v>103.02019569072031</v>
      </c>
      <c r="J21" s="284">
        <f t="shared" si="9"/>
        <v>95.438502479457171</v>
      </c>
      <c r="K21" s="284">
        <f t="shared" si="10"/>
        <v>107.45706984398882</v>
      </c>
    </row>
    <row r="22" spans="1:12">
      <c r="A22" s="99"/>
      <c r="B22" s="290" t="s">
        <v>125</v>
      </c>
      <c r="C22" s="101"/>
      <c r="D22" s="101"/>
      <c r="E22" s="101"/>
      <c r="F22" s="101"/>
      <c r="G22" s="101"/>
      <c r="H22" s="101"/>
      <c r="I22" s="289">
        <f t="shared" si="8"/>
        <v>0</v>
      </c>
      <c r="J22" s="289">
        <f t="shared" si="9"/>
        <v>0</v>
      </c>
      <c r="K22" s="289">
        <f t="shared" si="10"/>
        <v>0</v>
      </c>
      <c r="L22" s="242"/>
    </row>
    <row r="23" spans="1:12">
      <c r="A23" s="99">
        <v>1</v>
      </c>
      <c r="B23" s="290" t="s">
        <v>118</v>
      </c>
      <c r="C23" s="101">
        <v>1963710</v>
      </c>
      <c r="D23" s="101">
        <v>380322</v>
      </c>
      <c r="E23" s="101">
        <f t="shared" si="6"/>
        <v>1583388</v>
      </c>
      <c r="F23" s="287">
        <f t="shared" ref="F23:F24" si="14">G23+H23</f>
        <v>1945476.5538330001</v>
      </c>
      <c r="G23" s="101">
        <f>407229.413322-G48-G49-G50-G53-G58-G59-G88</f>
        <v>363930.52732200007</v>
      </c>
      <c r="H23" s="101">
        <f>1633938.272761-H48-H49-H50-H53-H58-H59-H88</f>
        <v>1581546.026511</v>
      </c>
      <c r="I23" s="289">
        <f t="shared" si="8"/>
        <v>99.071479690636608</v>
      </c>
      <c r="J23" s="289">
        <f t="shared" si="9"/>
        <v>95.690106625964333</v>
      </c>
      <c r="K23" s="289">
        <f t="shared" si="10"/>
        <v>99.88366884875974</v>
      </c>
    </row>
    <row r="24" spans="1:12">
      <c r="A24" s="99">
        <v>2</v>
      </c>
      <c r="B24" s="290" t="s">
        <v>126</v>
      </c>
      <c r="C24" s="101">
        <v>16390</v>
      </c>
      <c r="D24" s="101">
        <v>14890</v>
      </c>
      <c r="E24" s="101">
        <f t="shared" si="6"/>
        <v>1500</v>
      </c>
      <c r="F24" s="287">
        <f t="shared" si="14"/>
        <v>11706.385414</v>
      </c>
      <c r="G24" s="101">
        <v>10369.584934</v>
      </c>
      <c r="H24" s="101">
        <f>'Bieu 51_Xong'!E23-'bieu 53_Xong'!G24</f>
        <v>1336.8004799999999</v>
      </c>
      <c r="I24" s="289">
        <f t="shared" si="8"/>
        <v>71.423950054911529</v>
      </c>
      <c r="J24" s="289">
        <f t="shared" si="9"/>
        <v>69.641268865010076</v>
      </c>
      <c r="K24" s="289">
        <f t="shared" si="10"/>
        <v>89.120031999999995</v>
      </c>
    </row>
    <row r="25" spans="1:12" s="240" customFormat="1" ht="25.5">
      <c r="A25" s="282" t="s">
        <v>37</v>
      </c>
      <c r="B25" s="283" t="s">
        <v>1056</v>
      </c>
      <c r="C25" s="285">
        <v>1300</v>
      </c>
      <c r="D25" s="285">
        <v>1300</v>
      </c>
      <c r="E25" s="285">
        <f t="shared" si="6"/>
        <v>0</v>
      </c>
      <c r="F25" s="285">
        <f>G25+H25</f>
        <v>18520.929</v>
      </c>
      <c r="G25" s="285">
        <v>18520.929</v>
      </c>
      <c r="H25" s="285"/>
      <c r="I25" s="284">
        <f t="shared" si="8"/>
        <v>1424.6868461538461</v>
      </c>
      <c r="J25" s="284">
        <f t="shared" si="9"/>
        <v>1424.6868461538461</v>
      </c>
      <c r="K25" s="284">
        <f t="shared" si="10"/>
        <v>0</v>
      </c>
      <c r="L25" s="415"/>
    </row>
    <row r="26" spans="1:12" s="240" customFormat="1" ht="14.25">
      <c r="A26" s="282" t="s">
        <v>39</v>
      </c>
      <c r="B26" s="283" t="s">
        <v>45</v>
      </c>
      <c r="C26" s="285">
        <v>1000</v>
      </c>
      <c r="D26" s="285">
        <v>1000</v>
      </c>
      <c r="E26" s="285">
        <f t="shared" si="6"/>
        <v>0</v>
      </c>
      <c r="F26" s="285">
        <f>G26+H26</f>
        <v>1000</v>
      </c>
      <c r="G26" s="285">
        <v>1000</v>
      </c>
      <c r="H26" s="285"/>
      <c r="I26" s="284">
        <f t="shared" si="8"/>
        <v>100</v>
      </c>
      <c r="J26" s="284">
        <f t="shared" si="9"/>
        <v>100</v>
      </c>
      <c r="K26" s="284">
        <f t="shared" si="10"/>
        <v>0</v>
      </c>
    </row>
    <row r="27" spans="1:12" s="240" customFormat="1" ht="14.25">
      <c r="A27" s="282" t="s">
        <v>40</v>
      </c>
      <c r="B27" s="283" t="s">
        <v>46</v>
      </c>
      <c r="C27" s="285">
        <v>125616</v>
      </c>
      <c r="D27" s="285">
        <v>66931</v>
      </c>
      <c r="E27" s="285">
        <f t="shared" si="6"/>
        <v>58685</v>
      </c>
      <c r="F27" s="285"/>
      <c r="G27" s="285"/>
      <c r="H27" s="285"/>
      <c r="I27" s="284">
        <f t="shared" si="8"/>
        <v>0</v>
      </c>
      <c r="J27" s="284">
        <f t="shared" si="9"/>
        <v>0</v>
      </c>
      <c r="K27" s="284">
        <f t="shared" si="10"/>
        <v>0</v>
      </c>
    </row>
    <row r="28" spans="1:12" s="240" customFormat="1" ht="25.5">
      <c r="A28" s="282" t="s">
        <v>127</v>
      </c>
      <c r="B28" s="283" t="s">
        <v>762</v>
      </c>
      <c r="C28" s="285">
        <v>880000</v>
      </c>
      <c r="D28" s="285">
        <v>880000</v>
      </c>
      <c r="E28" s="285">
        <f t="shared" si="6"/>
        <v>0</v>
      </c>
      <c r="F28" s="291">
        <f>G28+H28</f>
        <v>54912.319609999999</v>
      </c>
      <c r="G28" s="292">
        <v>54912.319609999999</v>
      </c>
      <c r="H28" s="292"/>
      <c r="I28" s="284">
        <f t="shared" si="8"/>
        <v>6.2400363193181816</v>
      </c>
      <c r="J28" s="284">
        <f t="shared" si="9"/>
        <v>6.2400363193181816</v>
      </c>
      <c r="K28" s="284">
        <f t="shared" si="10"/>
        <v>0</v>
      </c>
    </row>
    <row r="29" spans="1:12" s="240" customFormat="1" ht="14.25">
      <c r="A29" s="282" t="s">
        <v>967</v>
      </c>
      <c r="B29" s="283" t="s">
        <v>968</v>
      </c>
      <c r="C29" s="235">
        <f>D29+E29</f>
        <v>16100</v>
      </c>
      <c r="D29" s="235">
        <v>16100</v>
      </c>
      <c r="E29" s="235"/>
      <c r="F29" s="291">
        <f>G29+H29</f>
        <v>10712.187403999998</v>
      </c>
      <c r="G29" s="292">
        <v>10712.187403999998</v>
      </c>
      <c r="H29" s="292"/>
      <c r="I29" s="284">
        <f t="shared" si="8"/>
        <v>66.535325490683221</v>
      </c>
      <c r="J29" s="284">
        <f t="shared" si="9"/>
        <v>66.535325490683221</v>
      </c>
      <c r="K29" s="284">
        <f t="shared" si="10"/>
        <v>0</v>
      </c>
    </row>
    <row r="30" spans="1:12">
      <c r="A30" s="282" t="s">
        <v>24</v>
      </c>
      <c r="B30" s="283" t="s">
        <v>128</v>
      </c>
      <c r="C30" s="285">
        <f>C31+C34</f>
        <v>1982774</v>
      </c>
      <c r="D30" s="285">
        <f>D31+D34</f>
        <v>1370107</v>
      </c>
      <c r="E30" s="285">
        <f t="shared" si="6"/>
        <v>612667</v>
      </c>
      <c r="F30" s="285">
        <f>F31+F34</f>
        <v>2122371.7836420001</v>
      </c>
      <c r="G30" s="285">
        <f>G31+G34</f>
        <v>1507032.0366229999</v>
      </c>
      <c r="H30" s="285">
        <f>H31+H34</f>
        <v>615339.747019</v>
      </c>
      <c r="I30" s="284">
        <f t="shared" si="8"/>
        <v>107.04052926062172</v>
      </c>
      <c r="J30" s="284">
        <f t="shared" si="9"/>
        <v>109.99374768707845</v>
      </c>
      <c r="K30" s="284">
        <f t="shared" si="10"/>
        <v>100.43624791591516</v>
      </c>
      <c r="L30" s="242"/>
    </row>
    <row r="31" spans="1:12">
      <c r="A31" s="282" t="s">
        <v>28</v>
      </c>
      <c r="B31" s="283" t="s">
        <v>49</v>
      </c>
      <c r="C31" s="285">
        <f>D31+E31</f>
        <v>661008</v>
      </c>
      <c r="D31" s="285">
        <f>'Bieu 61_Xong'!C13</f>
        <v>156888</v>
      </c>
      <c r="E31" s="285">
        <f>'Bieu 61_Xong'!C35</f>
        <v>504120</v>
      </c>
      <c r="F31" s="285">
        <f>F32+F33</f>
        <v>690045.38341300003</v>
      </c>
      <c r="G31" s="285">
        <f>G32+G33</f>
        <v>165821.893644</v>
      </c>
      <c r="H31" s="285">
        <f>H32+H33</f>
        <v>524223.48976899998</v>
      </c>
      <c r="I31" s="284">
        <f t="shared" si="8"/>
        <v>104.39289439961392</v>
      </c>
      <c r="J31" s="284">
        <f t="shared" si="9"/>
        <v>105.69444039314671</v>
      </c>
      <c r="K31" s="284">
        <f t="shared" si="10"/>
        <v>103.98783816730143</v>
      </c>
    </row>
    <row r="32" spans="1:12">
      <c r="A32" s="99">
        <v>1</v>
      </c>
      <c r="B32" s="100" t="s">
        <v>211</v>
      </c>
      <c r="C32" s="101">
        <f>D32+E32</f>
        <v>372490</v>
      </c>
      <c r="D32" s="101">
        <f>'Bieu 61_Xong'!M13</f>
        <v>9990</v>
      </c>
      <c r="E32" s="101">
        <f>'Bieu 61_Xong'!M35</f>
        <v>362500</v>
      </c>
      <c r="F32" s="101">
        <f>G32+H32</f>
        <v>373067.46099400002</v>
      </c>
      <c r="G32" s="101">
        <f>'Bieu 61_Hien vo'!AD13</f>
        <v>5657.8178740000003</v>
      </c>
      <c r="H32" s="101">
        <f>'Bieu 61_Xong'!AD35</f>
        <v>367409.64312000002</v>
      </c>
      <c r="I32" s="289">
        <f t="shared" si="8"/>
        <v>100.1550272474429</v>
      </c>
      <c r="J32" s="289">
        <f t="shared" si="9"/>
        <v>56.634813553553556</v>
      </c>
      <c r="K32" s="289">
        <f t="shared" si="10"/>
        <v>101.35438430896554</v>
      </c>
    </row>
    <row r="33" spans="1:11">
      <c r="A33" s="99">
        <v>2</v>
      </c>
      <c r="B33" s="100" t="s">
        <v>212</v>
      </c>
      <c r="C33" s="101">
        <f>D33+E33</f>
        <v>288518</v>
      </c>
      <c r="D33" s="101">
        <f>'Bieu 61_Xong'!F13</f>
        <v>146898</v>
      </c>
      <c r="E33" s="101">
        <f>'Bieu 61_Xong'!F35</f>
        <v>141620</v>
      </c>
      <c r="F33" s="101">
        <f>G33+H33</f>
        <v>316977.92241899995</v>
      </c>
      <c r="G33" s="101">
        <f>'Bieu 61_Xong'!W13</f>
        <v>160164.07577</v>
      </c>
      <c r="H33" s="101">
        <f>'Bieu 61_Xong'!W35</f>
        <v>156813.84664899998</v>
      </c>
      <c r="I33" s="289">
        <f t="shared" si="8"/>
        <v>109.86417569059815</v>
      </c>
      <c r="J33" s="289">
        <f t="shared" si="9"/>
        <v>109.03080761480754</v>
      </c>
      <c r="K33" s="289">
        <f t="shared" si="10"/>
        <v>110.72860235065667</v>
      </c>
    </row>
    <row r="34" spans="1:11">
      <c r="A34" s="282" t="s">
        <v>33</v>
      </c>
      <c r="B34" s="283" t="s">
        <v>129</v>
      </c>
      <c r="C34" s="285">
        <f>C35+C38</f>
        <v>1321766</v>
      </c>
      <c r="D34" s="285">
        <f t="shared" ref="D34:E34" si="15">D35+D38</f>
        <v>1213219</v>
      </c>
      <c r="E34" s="285">
        <f t="shared" si="15"/>
        <v>108547</v>
      </c>
      <c r="F34" s="285">
        <f>F35+F38</f>
        <v>1432326.400229</v>
      </c>
      <c r="G34" s="285">
        <f t="shared" ref="G34:H34" si="16">G35+G38</f>
        <v>1341210.142979</v>
      </c>
      <c r="H34" s="285">
        <f t="shared" si="16"/>
        <v>91116.257249999995</v>
      </c>
      <c r="I34" s="284">
        <f t="shared" si="8"/>
        <v>108.36459707913504</v>
      </c>
      <c r="J34" s="284">
        <f t="shared" si="9"/>
        <v>110.54971468292206</v>
      </c>
      <c r="K34" s="284">
        <f t="shared" si="10"/>
        <v>83.941755414705142</v>
      </c>
    </row>
    <row r="35" spans="1:11">
      <c r="A35" s="282" t="s">
        <v>213</v>
      </c>
      <c r="B35" s="283" t="s">
        <v>214</v>
      </c>
      <c r="C35" s="285">
        <f>C36+C37</f>
        <v>756675</v>
      </c>
      <c r="D35" s="285">
        <f>D36+D37</f>
        <v>756675</v>
      </c>
      <c r="E35" s="285">
        <f t="shared" si="6"/>
        <v>0</v>
      </c>
      <c r="F35" s="285">
        <f>F36+F37</f>
        <v>1039194.495017</v>
      </c>
      <c r="G35" s="285">
        <f t="shared" ref="G35:H35" si="17">G36+G37</f>
        <v>1039194.495017</v>
      </c>
      <c r="H35" s="285">
        <f t="shared" si="17"/>
        <v>0</v>
      </c>
      <c r="I35" s="284">
        <f t="shared" si="8"/>
        <v>137.33696699600225</v>
      </c>
      <c r="J35" s="284">
        <f t="shared" si="9"/>
        <v>137.33696699600225</v>
      </c>
      <c r="K35" s="284">
        <f t="shared" si="10"/>
        <v>0</v>
      </c>
    </row>
    <row r="36" spans="1:11">
      <c r="A36" s="99">
        <v>1</v>
      </c>
      <c r="B36" s="100" t="s">
        <v>215</v>
      </c>
      <c r="C36" s="101">
        <f>D36+E36</f>
        <v>319125</v>
      </c>
      <c r="D36" s="101">
        <v>319125</v>
      </c>
      <c r="E36" s="101"/>
      <c r="F36" s="101">
        <f>G36+H36</f>
        <v>241926.61581300001</v>
      </c>
      <c r="G36" s="101">
        <v>241926.61581300001</v>
      </c>
      <c r="H36" s="101"/>
      <c r="I36" s="289">
        <f t="shared" si="8"/>
        <v>75.809358656639247</v>
      </c>
      <c r="J36" s="289">
        <f t="shared" si="9"/>
        <v>75.809358656639247</v>
      </c>
      <c r="K36" s="289">
        <f t="shared" si="10"/>
        <v>0</v>
      </c>
    </row>
    <row r="37" spans="1:11">
      <c r="A37" s="99">
        <v>2</v>
      </c>
      <c r="B37" s="100" t="s">
        <v>177</v>
      </c>
      <c r="C37" s="101">
        <f>D37+E37</f>
        <v>437550</v>
      </c>
      <c r="D37" s="101">
        <v>437550</v>
      </c>
      <c r="E37" s="101"/>
      <c r="F37" s="101">
        <f>G37+H37</f>
        <v>797267.879204</v>
      </c>
      <c r="G37" s="101">
        <v>797267.879204</v>
      </c>
      <c r="H37" s="101"/>
      <c r="I37" s="289">
        <f t="shared" si="8"/>
        <v>182.21183389418351</v>
      </c>
      <c r="J37" s="289">
        <f t="shared" si="9"/>
        <v>182.21183389418351</v>
      </c>
      <c r="K37" s="289">
        <f t="shared" si="10"/>
        <v>0</v>
      </c>
    </row>
    <row r="38" spans="1:11">
      <c r="A38" s="282" t="s">
        <v>216</v>
      </c>
      <c r="B38" s="283" t="s">
        <v>217</v>
      </c>
      <c r="C38" s="285">
        <f>C39+C46</f>
        <v>565091</v>
      </c>
      <c r="D38" s="285">
        <f>D39+D46</f>
        <v>456544</v>
      </c>
      <c r="E38" s="285">
        <f t="shared" si="6"/>
        <v>108547</v>
      </c>
      <c r="F38" s="285">
        <f>F39+F46</f>
        <v>393131.90521200001</v>
      </c>
      <c r="G38" s="285">
        <f>G39+G46</f>
        <v>302015.64796199999</v>
      </c>
      <c r="H38" s="285">
        <f>H39+H46</f>
        <v>91116.257249999995</v>
      </c>
      <c r="I38" s="284">
        <f t="shared" si="8"/>
        <v>69.569663153722146</v>
      </c>
      <c r="J38" s="284">
        <f t="shared" si="9"/>
        <v>66.152582875254083</v>
      </c>
      <c r="K38" s="284">
        <f t="shared" si="10"/>
        <v>83.941755414705142</v>
      </c>
    </row>
    <row r="39" spans="1:11">
      <c r="A39" s="99" t="s">
        <v>28</v>
      </c>
      <c r="B39" s="100" t="s">
        <v>176</v>
      </c>
      <c r="C39" s="101">
        <f>SUM(C40:C45)</f>
        <v>149330</v>
      </c>
      <c r="D39" s="101">
        <f t="shared" ref="D39:H39" si="18">SUM(D40:D45)</f>
        <v>149330</v>
      </c>
      <c r="E39" s="101">
        <f t="shared" si="18"/>
        <v>0</v>
      </c>
      <c r="F39" s="101">
        <f t="shared" si="18"/>
        <v>24303.637935999999</v>
      </c>
      <c r="G39" s="101">
        <f t="shared" si="18"/>
        <v>24303.637935999999</v>
      </c>
      <c r="H39" s="101">
        <f t="shared" si="18"/>
        <v>0</v>
      </c>
      <c r="I39" s="289">
        <f t="shared" si="8"/>
        <v>16.275120830375677</v>
      </c>
      <c r="J39" s="289">
        <f t="shared" si="9"/>
        <v>16.275120830375677</v>
      </c>
      <c r="K39" s="289">
        <f t="shared" si="10"/>
        <v>0</v>
      </c>
    </row>
    <row r="40" spans="1:11" ht="38.25" outlineLevel="1">
      <c r="A40" s="99" t="s">
        <v>943</v>
      </c>
      <c r="B40" s="100" t="s">
        <v>944</v>
      </c>
      <c r="C40" s="101">
        <f>D40+E40</f>
        <v>4315</v>
      </c>
      <c r="D40" s="101">
        <v>4315</v>
      </c>
      <c r="E40" s="101"/>
      <c r="F40" s="101">
        <f>G40+H40</f>
        <v>4006.0955359999998</v>
      </c>
      <c r="G40" s="101">
        <v>4006.0955359999998</v>
      </c>
      <c r="H40" s="101"/>
      <c r="I40" s="289">
        <f t="shared" si="8"/>
        <v>92.841147995365006</v>
      </c>
      <c r="J40" s="289">
        <f t="shared" si="9"/>
        <v>92.841147995365006</v>
      </c>
      <c r="K40" s="289">
        <f t="shared" si="10"/>
        <v>0</v>
      </c>
    </row>
    <row r="41" spans="1:11" ht="38.25" outlineLevel="1">
      <c r="A41" s="99" t="s">
        <v>943</v>
      </c>
      <c r="B41" s="100" t="s">
        <v>945</v>
      </c>
      <c r="C41" s="101">
        <f t="shared" ref="C41:C45" si="19">D41+E41</f>
        <v>4177</v>
      </c>
      <c r="D41" s="101">
        <v>4177</v>
      </c>
      <c r="E41" s="101"/>
      <c r="F41" s="101">
        <f t="shared" ref="F41:F45" si="20">G41+H41</f>
        <v>806.97299999999996</v>
      </c>
      <c r="G41" s="101">
        <v>806.97299999999996</v>
      </c>
      <c r="H41" s="101"/>
      <c r="I41" s="289">
        <f t="shared" si="8"/>
        <v>19.31943978932248</v>
      </c>
      <c r="J41" s="289">
        <f t="shared" si="9"/>
        <v>19.31943978932248</v>
      </c>
      <c r="K41" s="289">
        <f t="shared" si="10"/>
        <v>0</v>
      </c>
    </row>
    <row r="42" spans="1:11" ht="38.25" outlineLevel="1">
      <c r="A42" s="99" t="s">
        <v>943</v>
      </c>
      <c r="B42" s="100" t="s">
        <v>946</v>
      </c>
      <c r="C42" s="101">
        <f t="shared" si="19"/>
        <v>2657</v>
      </c>
      <c r="D42" s="101">
        <v>2657</v>
      </c>
      <c r="E42" s="101"/>
      <c r="F42" s="101">
        <f t="shared" si="20"/>
        <v>557.74054000000001</v>
      </c>
      <c r="G42" s="101">
        <v>557.74054000000001</v>
      </c>
      <c r="H42" s="101"/>
      <c r="I42" s="289">
        <f t="shared" si="8"/>
        <v>20.99136394429808</v>
      </c>
      <c r="J42" s="289">
        <f t="shared" si="9"/>
        <v>20.99136394429808</v>
      </c>
      <c r="K42" s="289">
        <f t="shared" si="10"/>
        <v>0</v>
      </c>
    </row>
    <row r="43" spans="1:11" ht="51" outlineLevel="1">
      <c r="A43" s="99" t="s">
        <v>943</v>
      </c>
      <c r="B43" s="100" t="s">
        <v>947</v>
      </c>
      <c r="C43" s="101">
        <f t="shared" si="19"/>
        <v>4000</v>
      </c>
      <c r="D43" s="101">
        <v>4000</v>
      </c>
      <c r="E43" s="101"/>
      <c r="F43" s="101">
        <f t="shared" si="20"/>
        <v>3644.002</v>
      </c>
      <c r="G43" s="101">
        <v>3644.002</v>
      </c>
      <c r="H43" s="101"/>
      <c r="I43" s="289">
        <f t="shared" si="8"/>
        <v>91.100049999999996</v>
      </c>
      <c r="J43" s="289">
        <f t="shared" si="9"/>
        <v>91.100049999999996</v>
      </c>
      <c r="K43" s="289">
        <f t="shared" si="10"/>
        <v>0</v>
      </c>
    </row>
    <row r="44" spans="1:11" ht="38.25" outlineLevel="1">
      <c r="A44" s="99" t="s">
        <v>943</v>
      </c>
      <c r="B44" s="100" t="s">
        <v>948</v>
      </c>
      <c r="C44" s="101">
        <f t="shared" si="19"/>
        <v>16000</v>
      </c>
      <c r="D44" s="101">
        <v>16000</v>
      </c>
      <c r="E44" s="101"/>
      <c r="F44" s="101">
        <f t="shared" si="20"/>
        <v>15288.826859999999</v>
      </c>
      <c r="G44" s="101">
        <v>15288.826859999999</v>
      </c>
      <c r="H44" s="101"/>
      <c r="I44" s="289">
        <f t="shared" si="8"/>
        <v>95.555167874999995</v>
      </c>
      <c r="J44" s="289">
        <f t="shared" si="9"/>
        <v>95.555167874999995</v>
      </c>
      <c r="K44" s="289">
        <f t="shared" si="10"/>
        <v>0</v>
      </c>
    </row>
    <row r="45" spans="1:11" outlineLevel="1">
      <c r="A45" s="99" t="s">
        <v>943</v>
      </c>
      <c r="B45" s="100" t="s">
        <v>949</v>
      </c>
      <c r="C45" s="101">
        <f t="shared" si="19"/>
        <v>118181</v>
      </c>
      <c r="D45" s="101">
        <v>118181</v>
      </c>
      <c r="E45" s="101"/>
      <c r="F45" s="101">
        <f t="shared" si="20"/>
        <v>0</v>
      </c>
      <c r="G45" s="101"/>
      <c r="H45" s="101"/>
      <c r="I45" s="289">
        <f t="shared" si="8"/>
        <v>0</v>
      </c>
      <c r="J45" s="289">
        <f t="shared" si="9"/>
        <v>0</v>
      </c>
      <c r="K45" s="289">
        <f t="shared" si="10"/>
        <v>0</v>
      </c>
    </row>
    <row r="46" spans="1:11">
      <c r="A46" s="99" t="s">
        <v>33</v>
      </c>
      <c r="B46" s="100" t="s">
        <v>177</v>
      </c>
      <c r="C46" s="101">
        <f t="shared" ref="C46:H46" si="21">C47+C48+C49+C50+C53+C57+C61+C62+C63+C68+C73+C74+C75+C76+C77+C78+C81+C91+C92+C93</f>
        <v>415761</v>
      </c>
      <c r="D46" s="101">
        <f t="shared" si="21"/>
        <v>307214</v>
      </c>
      <c r="E46" s="101">
        <f t="shared" si="21"/>
        <v>108547</v>
      </c>
      <c r="F46" s="101">
        <f>F47+F48+F49+F50+F53+F57+F61+F62+F63+F68+F73+F74+F75+F76+F77+F78+F81+F91+F92+F93</f>
        <v>368828.267276</v>
      </c>
      <c r="G46" s="101">
        <f t="shared" si="21"/>
        <v>277712.01002599997</v>
      </c>
      <c r="H46" s="101">
        <f t="shared" si="21"/>
        <v>91116.257249999995</v>
      </c>
      <c r="I46" s="289">
        <f t="shared" si="8"/>
        <v>88.711607696729615</v>
      </c>
      <c r="J46" s="289">
        <f t="shared" si="9"/>
        <v>90.396925278795877</v>
      </c>
      <c r="K46" s="289">
        <f t="shared" si="10"/>
        <v>83.941755414705142</v>
      </c>
    </row>
    <row r="47" spans="1:11" ht="25.5">
      <c r="A47" s="99">
        <v>1</v>
      </c>
      <c r="B47" s="100" t="s">
        <v>219</v>
      </c>
      <c r="C47" s="101">
        <v>570</v>
      </c>
      <c r="D47" s="101">
        <v>570</v>
      </c>
      <c r="E47" s="101">
        <f t="shared" si="6"/>
        <v>0</v>
      </c>
      <c r="F47" s="101">
        <f>G47+H47</f>
        <v>570</v>
      </c>
      <c r="G47" s="101">
        <v>570</v>
      </c>
      <c r="H47" s="101"/>
      <c r="I47" s="289">
        <f t="shared" si="8"/>
        <v>100</v>
      </c>
      <c r="J47" s="289">
        <f t="shared" si="9"/>
        <v>100</v>
      </c>
      <c r="K47" s="289">
        <f t="shared" si="10"/>
        <v>0</v>
      </c>
    </row>
    <row r="48" spans="1:11" ht="25.5">
      <c r="A48" s="99">
        <v>2</v>
      </c>
      <c r="B48" s="100" t="s">
        <v>220</v>
      </c>
      <c r="C48" s="101">
        <f>D48+E48</f>
        <v>39102</v>
      </c>
      <c r="D48" s="101">
        <v>3688</v>
      </c>
      <c r="E48" s="101">
        <v>35414</v>
      </c>
      <c r="F48" s="101">
        <f>G48+H48</f>
        <v>23999.11075</v>
      </c>
      <c r="G48" s="101">
        <v>2690.3710000000001</v>
      </c>
      <c r="H48" s="101">
        <v>21308.739750000001</v>
      </c>
      <c r="I48" s="289">
        <f t="shared" si="8"/>
        <v>61.375660452150782</v>
      </c>
      <c r="J48" s="289">
        <f t="shared" si="9"/>
        <v>72.949322125813453</v>
      </c>
      <c r="K48" s="289">
        <f t="shared" si="10"/>
        <v>60.170383887728022</v>
      </c>
    </row>
    <row r="49" spans="1:11" ht="25.5">
      <c r="A49" s="99">
        <v>3</v>
      </c>
      <c r="B49" s="100" t="s">
        <v>223</v>
      </c>
      <c r="C49" s="101">
        <v>28852</v>
      </c>
      <c r="D49" s="101">
        <v>0</v>
      </c>
      <c r="E49" s="101">
        <f t="shared" si="6"/>
        <v>28852</v>
      </c>
      <c r="F49" s="101">
        <f>G49+H49</f>
        <v>25375.298999999999</v>
      </c>
      <c r="G49" s="101"/>
      <c r="H49" s="101">
        <v>25375.298999999999</v>
      </c>
      <c r="I49" s="289">
        <f t="shared" si="8"/>
        <v>87.949878691251911</v>
      </c>
      <c r="J49" s="289">
        <f t="shared" si="9"/>
        <v>0</v>
      </c>
      <c r="K49" s="289">
        <f t="shared" si="10"/>
        <v>87.949878691251911</v>
      </c>
    </row>
    <row r="50" spans="1:11" ht="38.25">
      <c r="A50" s="99">
        <v>4</v>
      </c>
      <c r="B50" s="100" t="s">
        <v>950</v>
      </c>
      <c r="C50" s="101">
        <f>C51+C52</f>
        <v>3696</v>
      </c>
      <c r="D50" s="101">
        <f t="shared" ref="D50:H50" si="22">D51+D52</f>
        <v>2331</v>
      </c>
      <c r="E50" s="101">
        <f t="shared" si="22"/>
        <v>1365</v>
      </c>
      <c r="F50" s="101">
        <f t="shared" si="22"/>
        <v>1666.9675000000002</v>
      </c>
      <c r="G50" s="101">
        <f t="shared" si="22"/>
        <v>551.30000000000007</v>
      </c>
      <c r="H50" s="101">
        <f t="shared" si="22"/>
        <v>1115.6675</v>
      </c>
      <c r="I50" s="289">
        <f t="shared" si="8"/>
        <v>45.101934523809526</v>
      </c>
      <c r="J50" s="289">
        <f t="shared" si="9"/>
        <v>23.650793650793652</v>
      </c>
      <c r="K50" s="289">
        <f t="shared" si="10"/>
        <v>81.733882783882777</v>
      </c>
    </row>
    <row r="51" spans="1:11" ht="25.5">
      <c r="A51" s="99" t="s">
        <v>206</v>
      </c>
      <c r="B51" s="100" t="s">
        <v>951</v>
      </c>
      <c r="C51" s="101">
        <f>D51+E51</f>
        <v>291</v>
      </c>
      <c r="D51" s="101">
        <v>291</v>
      </c>
      <c r="E51" s="101"/>
      <c r="F51" s="101">
        <f>G51+H51</f>
        <v>0</v>
      </c>
      <c r="G51" s="101"/>
      <c r="H51" s="101"/>
      <c r="I51" s="284">
        <f t="shared" si="8"/>
        <v>0</v>
      </c>
      <c r="J51" s="284">
        <f t="shared" si="9"/>
        <v>0</v>
      </c>
      <c r="K51" s="284">
        <f t="shared" si="10"/>
        <v>0</v>
      </c>
    </row>
    <row r="52" spans="1:11" ht="25.5">
      <c r="A52" s="99" t="s">
        <v>207</v>
      </c>
      <c r="B52" s="100" t="s">
        <v>952</v>
      </c>
      <c r="C52" s="101">
        <f>D52+E52</f>
        <v>3405</v>
      </c>
      <c r="D52" s="101">
        <v>2040</v>
      </c>
      <c r="E52" s="101">
        <v>1365</v>
      </c>
      <c r="F52" s="101">
        <f>G52+H52</f>
        <v>1666.9675000000002</v>
      </c>
      <c r="G52" s="101">
        <v>551.30000000000007</v>
      </c>
      <c r="H52" s="101">
        <v>1115.6675</v>
      </c>
      <c r="I52" s="289">
        <f t="shared" si="8"/>
        <v>48.956461086637304</v>
      </c>
      <c r="J52" s="289">
        <f t="shared" si="9"/>
        <v>27.024509803921571</v>
      </c>
      <c r="K52" s="289">
        <f t="shared" si="10"/>
        <v>81.733882783882777</v>
      </c>
    </row>
    <row r="53" spans="1:11" ht="63.75">
      <c r="A53" s="99">
        <v>5</v>
      </c>
      <c r="B53" s="100" t="s">
        <v>225</v>
      </c>
      <c r="C53" s="101">
        <f>C54+C55+C56</f>
        <v>15596</v>
      </c>
      <c r="D53" s="101">
        <f t="shared" ref="D53:H53" si="23">D54+D55+D56</f>
        <v>14081</v>
      </c>
      <c r="E53" s="101">
        <f t="shared" si="23"/>
        <v>1515</v>
      </c>
      <c r="F53" s="101">
        <f t="shared" si="23"/>
        <v>10339.678</v>
      </c>
      <c r="G53" s="101">
        <f t="shared" si="23"/>
        <v>8824.6779999999999</v>
      </c>
      <c r="H53" s="101">
        <f t="shared" si="23"/>
        <v>1515</v>
      </c>
      <c r="I53" s="289">
        <f t="shared" si="8"/>
        <v>66.296986406770969</v>
      </c>
      <c r="J53" s="289">
        <f t="shared" si="9"/>
        <v>62.670818833889641</v>
      </c>
      <c r="K53" s="289">
        <f t="shared" si="10"/>
        <v>100</v>
      </c>
    </row>
    <row r="54" spans="1:11">
      <c r="A54" s="99" t="s">
        <v>226</v>
      </c>
      <c r="B54" s="100" t="s">
        <v>229</v>
      </c>
      <c r="C54" s="101">
        <f>D54+E54</f>
        <v>6526</v>
      </c>
      <c r="D54" s="101">
        <v>6526</v>
      </c>
      <c r="E54" s="101"/>
      <c r="F54" s="101">
        <f t="shared" ref="F54:F56" si="24">G54+H54</f>
        <v>6526</v>
      </c>
      <c r="G54" s="101">
        <v>6526</v>
      </c>
      <c r="H54" s="101"/>
      <c r="I54" s="289">
        <f t="shared" si="8"/>
        <v>100</v>
      </c>
      <c r="J54" s="289">
        <f t="shared" si="9"/>
        <v>100</v>
      </c>
      <c r="K54" s="289">
        <f t="shared" si="10"/>
        <v>0</v>
      </c>
    </row>
    <row r="55" spans="1:11" ht="25.5">
      <c r="A55" s="99" t="s">
        <v>227</v>
      </c>
      <c r="B55" s="100" t="s">
        <v>230</v>
      </c>
      <c r="C55" s="101">
        <f>D55+E55</f>
        <v>1515</v>
      </c>
      <c r="D55" s="101"/>
      <c r="E55" s="101">
        <v>1515</v>
      </c>
      <c r="F55" s="101">
        <f t="shared" si="24"/>
        <v>1515</v>
      </c>
      <c r="G55" s="101"/>
      <c r="H55" s="101">
        <v>1515</v>
      </c>
      <c r="I55" s="289">
        <f t="shared" si="8"/>
        <v>100</v>
      </c>
      <c r="J55" s="289">
        <f t="shared" si="9"/>
        <v>0</v>
      </c>
      <c r="K55" s="289">
        <f t="shared" si="10"/>
        <v>100</v>
      </c>
    </row>
    <row r="56" spans="1:11" ht="25.5">
      <c r="A56" s="99" t="s">
        <v>228</v>
      </c>
      <c r="B56" s="100" t="s">
        <v>231</v>
      </c>
      <c r="C56" s="101">
        <f t="shared" ref="C56" si="25">D56+E56</f>
        <v>7555</v>
      </c>
      <c r="D56" s="101">
        <v>7555</v>
      </c>
      <c r="E56" s="101"/>
      <c r="F56" s="101">
        <f t="shared" si="24"/>
        <v>2298.6779999999999</v>
      </c>
      <c r="G56" s="101">
        <v>2298.6779999999999</v>
      </c>
      <c r="H56" s="101"/>
      <c r="I56" s="289">
        <f t="shared" si="8"/>
        <v>30.425916611515554</v>
      </c>
      <c r="J56" s="289">
        <f t="shared" si="9"/>
        <v>30.425916611515554</v>
      </c>
      <c r="K56" s="289">
        <f t="shared" si="10"/>
        <v>0</v>
      </c>
    </row>
    <row r="57" spans="1:11" ht="38.25">
      <c r="A57" s="99">
        <v>6</v>
      </c>
      <c r="B57" s="100" t="s">
        <v>953</v>
      </c>
      <c r="C57" s="101">
        <v>3408</v>
      </c>
      <c r="D57" s="101">
        <v>3408</v>
      </c>
      <c r="E57" s="101">
        <f t="shared" si="6"/>
        <v>0</v>
      </c>
      <c r="F57" s="101">
        <f>F58+F59+F60</f>
        <v>4842.0769999999993</v>
      </c>
      <c r="G57" s="101">
        <f t="shared" ref="G57:H57" si="26">G58+G59+G60</f>
        <v>1764.537</v>
      </c>
      <c r="H57" s="101">
        <f t="shared" si="26"/>
        <v>3077.5399999999995</v>
      </c>
      <c r="I57" s="289">
        <f t="shared" si="8"/>
        <v>142.07972417840372</v>
      </c>
      <c r="J57" s="289">
        <f t="shared" si="9"/>
        <v>51.776320422535214</v>
      </c>
      <c r="K57" s="289">
        <f t="shared" si="10"/>
        <v>0</v>
      </c>
    </row>
    <row r="58" spans="1:11">
      <c r="A58" s="99" t="s">
        <v>232</v>
      </c>
      <c r="B58" s="100" t="s">
        <v>235</v>
      </c>
      <c r="C58" s="101">
        <v>1840</v>
      </c>
      <c r="D58" s="101">
        <v>1840</v>
      </c>
      <c r="E58" s="101">
        <f t="shared" si="6"/>
        <v>0</v>
      </c>
      <c r="F58" s="101">
        <f t="shared" ref="F58:F62" si="27">G58+H58</f>
        <v>759.649</v>
      </c>
      <c r="G58" s="101">
        <v>759.649</v>
      </c>
      <c r="H58" s="101"/>
      <c r="I58" s="289">
        <f t="shared" si="8"/>
        <v>41.285271739130437</v>
      </c>
      <c r="J58" s="289">
        <f t="shared" si="9"/>
        <v>41.285271739130437</v>
      </c>
      <c r="K58" s="289">
        <f t="shared" si="10"/>
        <v>0</v>
      </c>
    </row>
    <row r="59" spans="1:11" ht="25.5">
      <c r="A59" s="99" t="s">
        <v>233</v>
      </c>
      <c r="B59" s="100" t="s">
        <v>236</v>
      </c>
      <c r="C59" s="101">
        <v>1288</v>
      </c>
      <c r="D59" s="101">
        <v>1288</v>
      </c>
      <c r="E59" s="101">
        <f t="shared" si="6"/>
        <v>0</v>
      </c>
      <c r="F59" s="101">
        <f t="shared" si="27"/>
        <v>3802.4279999999994</v>
      </c>
      <c r="G59" s="101">
        <v>724.88800000000003</v>
      </c>
      <c r="H59" s="101">
        <v>3077.5399999999995</v>
      </c>
      <c r="I59" s="289">
        <f t="shared" si="8"/>
        <v>295.21956521739128</v>
      </c>
      <c r="J59" s="289">
        <f t="shared" si="9"/>
        <v>56.280124223602492</v>
      </c>
      <c r="K59" s="289">
        <f t="shared" si="10"/>
        <v>0</v>
      </c>
    </row>
    <row r="60" spans="1:11" ht="25.5">
      <c r="A60" s="99" t="s">
        <v>234</v>
      </c>
      <c r="B60" s="100" t="s">
        <v>237</v>
      </c>
      <c r="C60" s="101">
        <v>280</v>
      </c>
      <c r="D60" s="101">
        <v>280</v>
      </c>
      <c r="E60" s="101">
        <f t="shared" si="6"/>
        <v>0</v>
      </c>
      <c r="F60" s="101">
        <f t="shared" si="27"/>
        <v>280</v>
      </c>
      <c r="G60" s="101">
        <v>280</v>
      </c>
      <c r="H60" s="101"/>
      <c r="I60" s="289">
        <f t="shared" si="8"/>
        <v>100</v>
      </c>
      <c r="J60" s="289">
        <f t="shared" si="9"/>
        <v>100</v>
      </c>
      <c r="K60" s="289">
        <f t="shared" si="10"/>
        <v>0</v>
      </c>
    </row>
    <row r="61" spans="1:11" ht="38.25">
      <c r="A61" s="99">
        <v>7</v>
      </c>
      <c r="B61" s="100" t="s">
        <v>238</v>
      </c>
      <c r="C61" s="101">
        <v>83651</v>
      </c>
      <c r="D61" s="101">
        <v>83651</v>
      </c>
      <c r="E61" s="101">
        <f t="shared" si="6"/>
        <v>0</v>
      </c>
      <c r="F61" s="101">
        <f t="shared" si="27"/>
        <v>83651</v>
      </c>
      <c r="G61" s="101">
        <v>83651</v>
      </c>
      <c r="H61" s="101"/>
      <c r="I61" s="289">
        <f t="shared" si="8"/>
        <v>100</v>
      </c>
      <c r="J61" s="289">
        <f t="shared" si="9"/>
        <v>100</v>
      </c>
      <c r="K61" s="289">
        <f t="shared" si="10"/>
        <v>0</v>
      </c>
    </row>
    <row r="62" spans="1:11">
      <c r="A62" s="99">
        <v>8</v>
      </c>
      <c r="B62" s="100" t="s">
        <v>239</v>
      </c>
      <c r="C62" s="101">
        <v>11957</v>
      </c>
      <c r="D62" s="101">
        <v>11957</v>
      </c>
      <c r="E62" s="101">
        <f t="shared" si="6"/>
        <v>0</v>
      </c>
      <c r="F62" s="101">
        <f t="shared" si="27"/>
        <v>11957</v>
      </c>
      <c r="G62" s="101">
        <v>11957</v>
      </c>
      <c r="H62" s="101"/>
      <c r="I62" s="289">
        <f t="shared" si="8"/>
        <v>100</v>
      </c>
      <c r="J62" s="289">
        <f t="shared" si="9"/>
        <v>100</v>
      </c>
      <c r="K62" s="289">
        <f t="shared" si="10"/>
        <v>0</v>
      </c>
    </row>
    <row r="63" spans="1:11" ht="63.75">
      <c r="A63" s="99">
        <v>9</v>
      </c>
      <c r="B63" s="100" t="s">
        <v>1014</v>
      </c>
      <c r="C63" s="101">
        <f>C64+C65+C66+C67</f>
        <v>14532</v>
      </c>
      <c r="D63" s="101">
        <f t="shared" ref="D63:E63" si="28">D64+D65+D66+D67</f>
        <v>11506</v>
      </c>
      <c r="E63" s="101">
        <f t="shared" si="28"/>
        <v>3026</v>
      </c>
      <c r="F63" s="101">
        <f>F64+F65+F66+F67</f>
        <v>10546.560000000001</v>
      </c>
      <c r="G63" s="101">
        <f t="shared" ref="G63:H63" si="29">G64+G65+G66+G67</f>
        <v>7712</v>
      </c>
      <c r="H63" s="101">
        <f t="shared" si="29"/>
        <v>2834.5600000000004</v>
      </c>
      <c r="I63" s="289">
        <f t="shared" si="8"/>
        <v>72.574731626754769</v>
      </c>
      <c r="J63" s="289">
        <f t="shared" si="9"/>
        <v>67.025899530679638</v>
      </c>
      <c r="K63" s="289">
        <f t="shared" si="10"/>
        <v>93.673496364838087</v>
      </c>
    </row>
    <row r="64" spans="1:11" ht="25.5">
      <c r="A64" s="293" t="s">
        <v>30</v>
      </c>
      <c r="B64" s="100" t="s">
        <v>241</v>
      </c>
      <c r="C64" s="101">
        <v>1765</v>
      </c>
      <c r="D64" s="101"/>
      <c r="E64" s="101">
        <f t="shared" si="6"/>
        <v>1765</v>
      </c>
      <c r="F64" s="101">
        <f t="shared" ref="F64:F67" si="30">G64+H64</f>
        <v>1714.3400000000001</v>
      </c>
      <c r="G64" s="101"/>
      <c r="H64" s="101">
        <v>1714.3400000000001</v>
      </c>
      <c r="I64" s="289">
        <f t="shared" si="8"/>
        <v>97.129745042492914</v>
      </c>
      <c r="J64" s="289">
        <f t="shared" si="9"/>
        <v>0</v>
      </c>
      <c r="K64" s="289">
        <f t="shared" si="10"/>
        <v>97.129745042492914</v>
      </c>
    </row>
    <row r="65" spans="1:11" ht="25.5">
      <c r="A65" s="293" t="s">
        <v>30</v>
      </c>
      <c r="B65" s="100" t="s">
        <v>242</v>
      </c>
      <c r="C65" s="101">
        <v>1411</v>
      </c>
      <c r="D65" s="101">
        <v>150</v>
      </c>
      <c r="E65" s="101">
        <f t="shared" si="6"/>
        <v>1261</v>
      </c>
      <c r="F65" s="101">
        <f t="shared" si="30"/>
        <v>1245.22</v>
      </c>
      <c r="G65" s="101">
        <v>125</v>
      </c>
      <c r="H65" s="101">
        <v>1120.22</v>
      </c>
      <c r="I65" s="289">
        <f t="shared" si="8"/>
        <v>88.250885896527294</v>
      </c>
      <c r="J65" s="289">
        <f t="shared" si="9"/>
        <v>83.333333333333343</v>
      </c>
      <c r="K65" s="289">
        <f t="shared" si="10"/>
        <v>88.835844567803335</v>
      </c>
    </row>
    <row r="66" spans="1:11" ht="25.5">
      <c r="A66" s="293" t="s">
        <v>30</v>
      </c>
      <c r="B66" s="100" t="s">
        <v>243</v>
      </c>
      <c r="C66" s="101">
        <v>4335</v>
      </c>
      <c r="D66" s="101">
        <v>4335</v>
      </c>
      <c r="E66" s="101">
        <f t="shared" si="6"/>
        <v>0</v>
      </c>
      <c r="F66" s="101">
        <f t="shared" si="30"/>
        <v>4335</v>
      </c>
      <c r="G66" s="101">
        <v>4335</v>
      </c>
      <c r="H66" s="101"/>
      <c r="I66" s="289">
        <f t="shared" si="8"/>
        <v>100</v>
      </c>
      <c r="J66" s="289">
        <f t="shared" si="9"/>
        <v>100</v>
      </c>
      <c r="K66" s="289">
        <f t="shared" si="10"/>
        <v>0</v>
      </c>
    </row>
    <row r="67" spans="1:11" ht="38.25">
      <c r="A67" s="293" t="s">
        <v>30</v>
      </c>
      <c r="B67" s="100" t="s">
        <v>954</v>
      </c>
      <c r="C67" s="101">
        <v>7021</v>
      </c>
      <c r="D67" s="101">
        <v>7021</v>
      </c>
      <c r="E67" s="101">
        <f t="shared" si="6"/>
        <v>0</v>
      </c>
      <c r="F67" s="101">
        <f t="shared" si="30"/>
        <v>3252</v>
      </c>
      <c r="G67" s="101">
        <v>3252</v>
      </c>
      <c r="H67" s="101"/>
      <c r="I67" s="289">
        <f t="shared" si="8"/>
        <v>46.318188292266058</v>
      </c>
      <c r="J67" s="289">
        <f t="shared" si="9"/>
        <v>46.318188292266058</v>
      </c>
      <c r="K67" s="289">
        <f t="shared" si="10"/>
        <v>0</v>
      </c>
    </row>
    <row r="68" spans="1:11" ht="89.25">
      <c r="A68" s="293">
        <v>10</v>
      </c>
      <c r="B68" s="294" t="s">
        <v>955</v>
      </c>
      <c r="C68" s="101">
        <f>C69+C70+C71+C72</f>
        <v>46969</v>
      </c>
      <c r="D68" s="101">
        <f t="shared" ref="D68:H68" si="31">D69+D70+D71+D72</f>
        <v>20229</v>
      </c>
      <c r="E68" s="101">
        <f t="shared" si="31"/>
        <v>26740</v>
      </c>
      <c r="F68" s="101">
        <f t="shared" si="31"/>
        <v>41447.550999999999</v>
      </c>
      <c r="G68" s="101">
        <f t="shared" si="31"/>
        <v>17117.899999999998</v>
      </c>
      <c r="H68" s="101">
        <f t="shared" si="31"/>
        <v>24329.651000000002</v>
      </c>
      <c r="I68" s="289">
        <f t="shared" si="8"/>
        <v>88.24448253103111</v>
      </c>
      <c r="J68" s="289">
        <f t="shared" si="9"/>
        <v>84.620594196450625</v>
      </c>
      <c r="K68" s="289">
        <f t="shared" si="10"/>
        <v>90.985979805534782</v>
      </c>
    </row>
    <row r="69" spans="1:11" ht="25.5">
      <c r="A69" s="99" t="s">
        <v>246</v>
      </c>
      <c r="B69" s="100" t="s">
        <v>250</v>
      </c>
      <c r="C69" s="101">
        <v>12694</v>
      </c>
      <c r="D69" s="101">
        <v>940</v>
      </c>
      <c r="E69" s="101">
        <f t="shared" ref="E69:E88" si="32">C69-D69</f>
        <v>11754</v>
      </c>
      <c r="F69" s="101">
        <f t="shared" ref="F69:F77" si="33">G69+H69</f>
        <v>12573.79</v>
      </c>
      <c r="G69" s="101">
        <v>835</v>
      </c>
      <c r="H69" s="101">
        <v>11738.79</v>
      </c>
      <c r="I69" s="289">
        <f t="shared" si="8"/>
        <v>99.053017173467779</v>
      </c>
      <c r="J69" s="289">
        <f t="shared" si="9"/>
        <v>88.829787234042556</v>
      </c>
      <c r="K69" s="289">
        <f t="shared" si="10"/>
        <v>99.870597243491588</v>
      </c>
    </row>
    <row r="70" spans="1:11">
      <c r="A70" s="99" t="s">
        <v>247</v>
      </c>
      <c r="B70" s="100" t="s">
        <v>251</v>
      </c>
      <c r="C70" s="101">
        <v>14041</v>
      </c>
      <c r="D70" s="101">
        <v>0</v>
      </c>
      <c r="E70" s="101">
        <f t="shared" si="32"/>
        <v>14041</v>
      </c>
      <c r="F70" s="101">
        <f t="shared" si="33"/>
        <v>11615.861000000001</v>
      </c>
      <c r="G70" s="101"/>
      <c r="H70" s="101">
        <v>11615.861000000001</v>
      </c>
      <c r="I70" s="289">
        <f t="shared" si="8"/>
        <v>82.728160387436802</v>
      </c>
      <c r="J70" s="289">
        <f t="shared" si="9"/>
        <v>0</v>
      </c>
      <c r="K70" s="289">
        <f t="shared" si="10"/>
        <v>82.728160387436802</v>
      </c>
    </row>
    <row r="71" spans="1:11" ht="25.5">
      <c r="A71" s="99" t="s">
        <v>248</v>
      </c>
      <c r="B71" s="100" t="s">
        <v>252</v>
      </c>
      <c r="C71" s="101">
        <v>1487</v>
      </c>
      <c r="D71" s="101">
        <v>542</v>
      </c>
      <c r="E71" s="101">
        <f t="shared" si="32"/>
        <v>945</v>
      </c>
      <c r="F71" s="101">
        <f t="shared" si="33"/>
        <v>2005</v>
      </c>
      <c r="G71" s="101">
        <v>1030</v>
      </c>
      <c r="H71" s="101">
        <v>975</v>
      </c>
      <c r="I71" s="289">
        <f t="shared" si="8"/>
        <v>134.83523873570948</v>
      </c>
      <c r="J71" s="289">
        <f t="shared" si="9"/>
        <v>190.03690036900369</v>
      </c>
      <c r="K71" s="289">
        <f t="shared" si="10"/>
        <v>103.17460317460319</v>
      </c>
    </row>
    <row r="72" spans="1:11" ht="25.5">
      <c r="A72" s="99" t="s">
        <v>249</v>
      </c>
      <c r="B72" s="100" t="s">
        <v>253</v>
      </c>
      <c r="C72" s="101">
        <v>18747</v>
      </c>
      <c r="D72" s="101">
        <v>18747</v>
      </c>
      <c r="E72" s="101">
        <f t="shared" si="32"/>
        <v>0</v>
      </c>
      <c r="F72" s="101">
        <f t="shared" si="33"/>
        <v>15252.899999999998</v>
      </c>
      <c r="G72" s="101">
        <v>15252.899999999998</v>
      </c>
      <c r="H72" s="101"/>
      <c r="I72" s="289">
        <f t="shared" si="8"/>
        <v>81.361817890862525</v>
      </c>
      <c r="J72" s="289">
        <f t="shared" si="9"/>
        <v>81.361817890862525</v>
      </c>
      <c r="K72" s="289">
        <f t="shared" si="10"/>
        <v>0</v>
      </c>
    </row>
    <row r="73" spans="1:11" ht="25.5">
      <c r="A73" s="293">
        <v>11</v>
      </c>
      <c r="B73" s="100" t="s">
        <v>956</v>
      </c>
      <c r="C73" s="101">
        <v>10215</v>
      </c>
      <c r="D73" s="101">
        <v>10215</v>
      </c>
      <c r="E73" s="101">
        <f t="shared" si="32"/>
        <v>0</v>
      </c>
      <c r="F73" s="101">
        <f t="shared" si="33"/>
        <v>7752.9</v>
      </c>
      <c r="G73" s="101">
        <v>7752.9</v>
      </c>
      <c r="H73" s="101"/>
      <c r="I73" s="289">
        <f t="shared" si="8"/>
        <v>75.897209985315712</v>
      </c>
      <c r="J73" s="289">
        <f t="shared" si="9"/>
        <v>75.897209985315712</v>
      </c>
      <c r="K73" s="289">
        <f t="shared" si="10"/>
        <v>0</v>
      </c>
    </row>
    <row r="74" spans="1:11">
      <c r="A74" s="293">
        <v>12</v>
      </c>
      <c r="B74" s="100" t="s">
        <v>255</v>
      </c>
      <c r="C74" s="101">
        <v>4796</v>
      </c>
      <c r="D74" s="101">
        <v>2145</v>
      </c>
      <c r="E74" s="101">
        <f t="shared" si="32"/>
        <v>2651</v>
      </c>
      <c r="F74" s="101">
        <f t="shared" si="33"/>
        <v>4124.8029999999999</v>
      </c>
      <c r="G74" s="101">
        <v>2145</v>
      </c>
      <c r="H74" s="101">
        <v>1979.8030000000001</v>
      </c>
      <c r="I74" s="289">
        <f t="shared" si="8"/>
        <v>86.005066722268552</v>
      </c>
      <c r="J74" s="289">
        <f t="shared" si="9"/>
        <v>100</v>
      </c>
      <c r="K74" s="289">
        <f t="shared" si="10"/>
        <v>74.681365522444366</v>
      </c>
    </row>
    <row r="75" spans="1:11" ht="25.5">
      <c r="A75" s="293">
        <v>13</v>
      </c>
      <c r="B75" s="100" t="s">
        <v>957</v>
      </c>
      <c r="C75" s="101">
        <v>1800</v>
      </c>
      <c r="D75" s="101">
        <v>1800</v>
      </c>
      <c r="E75" s="101">
        <f t="shared" si="32"/>
        <v>0</v>
      </c>
      <c r="F75" s="101">
        <f t="shared" si="33"/>
        <v>1800</v>
      </c>
      <c r="G75" s="101">
        <v>1800</v>
      </c>
      <c r="H75" s="101"/>
      <c r="I75" s="289">
        <f t="shared" si="8"/>
        <v>100</v>
      </c>
      <c r="J75" s="289">
        <f t="shared" si="9"/>
        <v>100</v>
      </c>
      <c r="K75" s="289">
        <f t="shared" si="10"/>
        <v>0</v>
      </c>
    </row>
    <row r="76" spans="1:11" ht="25.5">
      <c r="A76" s="293">
        <v>14</v>
      </c>
      <c r="B76" s="100" t="s">
        <v>257</v>
      </c>
      <c r="C76" s="101">
        <v>9555</v>
      </c>
      <c r="D76" s="101">
        <v>8600</v>
      </c>
      <c r="E76" s="101">
        <f t="shared" si="32"/>
        <v>955</v>
      </c>
      <c r="F76" s="101">
        <f t="shared" si="33"/>
        <v>9171.42</v>
      </c>
      <c r="G76" s="101">
        <v>8231</v>
      </c>
      <c r="H76" s="101">
        <v>940.42</v>
      </c>
      <c r="I76" s="289">
        <f t="shared" ref="I76:I94" si="34">IF(C76=0,0,F76/C76*100)</f>
        <v>95.985557299843009</v>
      </c>
      <c r="J76" s="289">
        <f t="shared" ref="J76:J94" si="35">IF(D76=0,0,G76/D76*100)</f>
        <v>95.70930232558139</v>
      </c>
      <c r="K76" s="289">
        <f t="shared" ref="K76:K94" si="36">IF(E76=0,0,H76/E76*100)</f>
        <v>98.473298429319371</v>
      </c>
    </row>
    <row r="77" spans="1:11">
      <c r="A77" s="293">
        <v>15</v>
      </c>
      <c r="B77" s="100" t="s">
        <v>958</v>
      </c>
      <c r="C77" s="101">
        <v>44194</v>
      </c>
      <c r="D77" s="101">
        <v>44194</v>
      </c>
      <c r="E77" s="101">
        <f t="shared" si="32"/>
        <v>0</v>
      </c>
      <c r="F77" s="101">
        <f t="shared" si="33"/>
        <v>43643</v>
      </c>
      <c r="G77" s="101">
        <v>43643</v>
      </c>
      <c r="H77" s="101"/>
      <c r="I77" s="289">
        <f t="shared" si="34"/>
        <v>98.753224419604464</v>
      </c>
      <c r="J77" s="289">
        <f t="shared" si="35"/>
        <v>98.753224419604464</v>
      </c>
      <c r="K77" s="289">
        <f t="shared" si="36"/>
        <v>0</v>
      </c>
    </row>
    <row r="78" spans="1:11" ht="38.25">
      <c r="A78" s="293">
        <v>16</v>
      </c>
      <c r="B78" s="100" t="s">
        <v>959</v>
      </c>
      <c r="C78" s="101">
        <f>C79+C80</f>
        <v>5430</v>
      </c>
      <c r="D78" s="101">
        <f t="shared" ref="D78:E78" si="37">D79+D80</f>
        <v>1612</v>
      </c>
      <c r="E78" s="101">
        <f t="shared" si="37"/>
        <v>3818</v>
      </c>
      <c r="F78" s="101">
        <f>F79+F80</f>
        <v>5397.9989999999998</v>
      </c>
      <c r="G78" s="101">
        <f t="shared" ref="G78:H78" si="38">G79+G80</f>
        <v>1612</v>
      </c>
      <c r="H78" s="101">
        <f t="shared" si="38"/>
        <v>3785.9989999999998</v>
      </c>
      <c r="I78" s="289">
        <f t="shared" si="34"/>
        <v>99.410662983425411</v>
      </c>
      <c r="J78" s="289">
        <f t="shared" si="35"/>
        <v>100</v>
      </c>
      <c r="K78" s="289">
        <f t="shared" si="36"/>
        <v>99.161838658983754</v>
      </c>
    </row>
    <row r="79" spans="1:11" ht="25.5">
      <c r="A79" s="99" t="s">
        <v>260</v>
      </c>
      <c r="B79" s="100" t="s">
        <v>262</v>
      </c>
      <c r="C79" s="101">
        <v>3818</v>
      </c>
      <c r="D79" s="101">
        <v>0</v>
      </c>
      <c r="E79" s="101">
        <f t="shared" si="32"/>
        <v>3818</v>
      </c>
      <c r="F79" s="101">
        <f t="shared" ref="F79:F80" si="39">G79+H79</f>
        <v>3785.9989999999998</v>
      </c>
      <c r="G79" s="101"/>
      <c r="H79" s="101">
        <v>3785.9989999999998</v>
      </c>
      <c r="I79" s="289">
        <f t="shared" si="34"/>
        <v>99.161838658983754</v>
      </c>
      <c r="J79" s="289">
        <f t="shared" si="35"/>
        <v>0</v>
      </c>
      <c r="K79" s="289">
        <f t="shared" si="36"/>
        <v>99.161838658983754</v>
      </c>
    </row>
    <row r="80" spans="1:11" ht="25.5">
      <c r="A80" s="99" t="s">
        <v>261</v>
      </c>
      <c r="B80" s="100" t="s">
        <v>263</v>
      </c>
      <c r="C80" s="101">
        <v>1612</v>
      </c>
      <c r="D80" s="101">
        <v>1612</v>
      </c>
      <c r="E80" s="101">
        <f t="shared" si="32"/>
        <v>0</v>
      </c>
      <c r="F80" s="101">
        <f t="shared" si="39"/>
        <v>1612</v>
      </c>
      <c r="G80" s="101">
        <v>1612</v>
      </c>
      <c r="H80" s="101"/>
      <c r="I80" s="289">
        <f t="shared" si="34"/>
        <v>100</v>
      </c>
      <c r="J80" s="289">
        <f t="shared" si="35"/>
        <v>100</v>
      </c>
      <c r="K80" s="289">
        <f t="shared" si="36"/>
        <v>0</v>
      </c>
    </row>
    <row r="81" spans="1:11">
      <c r="A81" s="293">
        <v>17</v>
      </c>
      <c r="B81" s="100" t="s">
        <v>264</v>
      </c>
      <c r="C81" s="101">
        <f>C82+C83+C84+C85+C86+C87+C88+C89+C90</f>
        <v>86040</v>
      </c>
      <c r="D81" s="101">
        <f t="shared" ref="D81:H81" si="40">D82+D83+D84+D85+D86+D87+D88+D89+D90</f>
        <v>81829</v>
      </c>
      <c r="E81" s="101">
        <f t="shared" si="40"/>
        <v>4211</v>
      </c>
      <c r="F81" s="101">
        <f t="shared" si="40"/>
        <v>77144.902025999996</v>
      </c>
      <c r="G81" s="101">
        <f t="shared" si="40"/>
        <v>72291.324026000002</v>
      </c>
      <c r="H81" s="101">
        <f t="shared" si="40"/>
        <v>4853.5779999999995</v>
      </c>
      <c r="I81" s="289">
        <f t="shared" si="34"/>
        <v>89.661671345885622</v>
      </c>
      <c r="J81" s="289">
        <f t="shared" si="35"/>
        <v>88.344381607987387</v>
      </c>
      <c r="K81" s="289">
        <f t="shared" si="36"/>
        <v>115.25951080503442</v>
      </c>
    </row>
    <row r="82" spans="1:11" ht="25.5">
      <c r="A82" s="99" t="s">
        <v>265</v>
      </c>
      <c r="B82" s="100" t="s">
        <v>266</v>
      </c>
      <c r="C82" s="101">
        <v>8155</v>
      </c>
      <c r="D82" s="101">
        <v>7680</v>
      </c>
      <c r="E82" s="101">
        <v>475</v>
      </c>
      <c r="F82" s="101">
        <f>G82+H82</f>
        <v>7559.991</v>
      </c>
      <c r="G82" s="101">
        <v>7165</v>
      </c>
      <c r="H82" s="101">
        <v>394.99099999999999</v>
      </c>
      <c r="I82" s="289">
        <f t="shared" si="34"/>
        <v>92.703752299202947</v>
      </c>
      <c r="J82" s="289">
        <f t="shared" si="35"/>
        <v>93.294270833333343</v>
      </c>
      <c r="K82" s="289">
        <f t="shared" si="36"/>
        <v>83.155999999999992</v>
      </c>
    </row>
    <row r="83" spans="1:11">
      <c r="A83" s="99" t="s">
        <v>267</v>
      </c>
      <c r="B83" s="100" t="s">
        <v>272</v>
      </c>
      <c r="C83" s="101">
        <f>D83+E83</f>
        <v>3284</v>
      </c>
      <c r="D83" s="101">
        <v>2046</v>
      </c>
      <c r="E83" s="101">
        <v>1238</v>
      </c>
      <c r="F83" s="101">
        <f>G83+H83</f>
        <v>2759.212</v>
      </c>
      <c r="G83" s="101">
        <v>1626</v>
      </c>
      <c r="H83" s="101">
        <v>1133.212</v>
      </c>
      <c r="I83" s="289">
        <f t="shared" si="34"/>
        <v>84.019853836784407</v>
      </c>
      <c r="J83" s="289">
        <f t="shared" si="35"/>
        <v>79.47214076246334</v>
      </c>
      <c r="K83" s="289">
        <f t="shared" si="36"/>
        <v>91.535702746365104</v>
      </c>
    </row>
    <row r="84" spans="1:11">
      <c r="A84" s="99" t="s">
        <v>271</v>
      </c>
      <c r="B84" s="100" t="s">
        <v>960</v>
      </c>
      <c r="C84" s="101">
        <f>D84+E84</f>
        <v>5670</v>
      </c>
      <c r="D84" s="101">
        <v>5670</v>
      </c>
      <c r="E84" s="101"/>
      <c r="F84" s="101">
        <f>G84+H84</f>
        <v>3966.1619929999997</v>
      </c>
      <c r="G84" s="101">
        <v>3966.1619929999997</v>
      </c>
      <c r="H84" s="101"/>
      <c r="I84" s="289">
        <f t="shared" si="34"/>
        <v>69.949946966490302</v>
      </c>
      <c r="J84" s="289">
        <f t="shared" si="35"/>
        <v>69.949946966490302</v>
      </c>
      <c r="K84" s="289">
        <f t="shared" si="36"/>
        <v>0</v>
      </c>
    </row>
    <row r="85" spans="1:11">
      <c r="A85" s="99" t="s">
        <v>278</v>
      </c>
      <c r="B85" s="100" t="s">
        <v>961</v>
      </c>
      <c r="C85" s="101">
        <v>1451</v>
      </c>
      <c r="D85" s="101">
        <v>1451</v>
      </c>
      <c r="E85" s="101">
        <f t="shared" si="32"/>
        <v>0</v>
      </c>
      <c r="F85" s="101">
        <f t="shared" ref="F85:F93" si="41">G85+H85</f>
        <v>1442.8140000000001</v>
      </c>
      <c r="G85" s="101">
        <v>1442.8140000000001</v>
      </c>
      <c r="H85" s="101"/>
      <c r="I85" s="289">
        <f t="shared" si="34"/>
        <v>99.435837353549289</v>
      </c>
      <c r="J85" s="289">
        <f t="shared" si="35"/>
        <v>99.435837353549289</v>
      </c>
      <c r="K85" s="289">
        <f t="shared" si="36"/>
        <v>0</v>
      </c>
    </row>
    <row r="86" spans="1:11" ht="25.5">
      <c r="A86" s="99" t="s">
        <v>290</v>
      </c>
      <c r="B86" s="100" t="s">
        <v>296</v>
      </c>
      <c r="C86" s="101">
        <v>1880</v>
      </c>
      <c r="D86" s="101">
        <v>1880</v>
      </c>
      <c r="E86" s="101">
        <f t="shared" si="32"/>
        <v>0</v>
      </c>
      <c r="F86" s="101">
        <f t="shared" si="41"/>
        <v>1880</v>
      </c>
      <c r="G86" s="101">
        <v>1880</v>
      </c>
      <c r="H86" s="101"/>
      <c r="I86" s="289">
        <f t="shared" si="34"/>
        <v>100</v>
      </c>
      <c r="J86" s="289">
        <f t="shared" si="35"/>
        <v>100</v>
      </c>
      <c r="K86" s="289">
        <f t="shared" si="36"/>
        <v>0</v>
      </c>
    </row>
    <row r="87" spans="1:11">
      <c r="A87" s="99" t="s">
        <v>292</v>
      </c>
      <c r="B87" s="100" t="s">
        <v>297</v>
      </c>
      <c r="C87" s="101">
        <v>33800</v>
      </c>
      <c r="D87" s="101">
        <v>31302</v>
      </c>
      <c r="E87" s="101">
        <f t="shared" si="32"/>
        <v>2498</v>
      </c>
      <c r="F87" s="101">
        <f t="shared" si="41"/>
        <v>28268.723032999998</v>
      </c>
      <c r="G87" s="101">
        <v>26163.348032999998</v>
      </c>
      <c r="H87" s="101">
        <v>2105.375</v>
      </c>
      <c r="I87" s="289">
        <f t="shared" si="34"/>
        <v>83.635275245562127</v>
      </c>
      <c r="J87" s="289">
        <f t="shared" si="35"/>
        <v>83.583630544374159</v>
      </c>
      <c r="K87" s="289">
        <f t="shared" si="36"/>
        <v>84.282425940752603</v>
      </c>
    </row>
    <row r="88" spans="1:11" ht="38.25">
      <c r="A88" s="99" t="s">
        <v>293</v>
      </c>
      <c r="B88" s="100" t="s">
        <v>755</v>
      </c>
      <c r="C88" s="101">
        <v>30000</v>
      </c>
      <c r="D88" s="101">
        <v>30000</v>
      </c>
      <c r="E88" s="101">
        <f t="shared" si="32"/>
        <v>0</v>
      </c>
      <c r="F88" s="101">
        <f t="shared" si="41"/>
        <v>29748</v>
      </c>
      <c r="G88" s="101">
        <v>29748</v>
      </c>
      <c r="H88" s="101"/>
      <c r="I88" s="289">
        <f t="shared" si="34"/>
        <v>99.16</v>
      </c>
      <c r="J88" s="289">
        <f t="shared" si="35"/>
        <v>99.16</v>
      </c>
      <c r="K88" s="289">
        <f t="shared" si="36"/>
        <v>0</v>
      </c>
    </row>
    <row r="89" spans="1:11" ht="25.5">
      <c r="A89" s="99" t="s">
        <v>294</v>
      </c>
      <c r="B89" s="100" t="s">
        <v>298</v>
      </c>
      <c r="C89" s="101">
        <v>300</v>
      </c>
      <c r="D89" s="101">
        <v>300</v>
      </c>
      <c r="E89" s="101">
        <f>C89-D89</f>
        <v>0</v>
      </c>
      <c r="F89" s="101">
        <f t="shared" si="41"/>
        <v>300</v>
      </c>
      <c r="G89" s="101">
        <v>300</v>
      </c>
      <c r="H89" s="101"/>
      <c r="I89" s="289">
        <f t="shared" si="34"/>
        <v>100</v>
      </c>
      <c r="J89" s="289">
        <f t="shared" si="35"/>
        <v>100</v>
      </c>
      <c r="K89" s="289">
        <f t="shared" si="36"/>
        <v>0</v>
      </c>
    </row>
    <row r="90" spans="1:11" ht="38.25">
      <c r="A90" s="99" t="s">
        <v>295</v>
      </c>
      <c r="B90" s="100" t="s">
        <v>962</v>
      </c>
      <c r="C90" s="101">
        <v>1500</v>
      </c>
      <c r="D90" s="101">
        <v>1500</v>
      </c>
      <c r="E90" s="101">
        <f>C90-D90</f>
        <v>0</v>
      </c>
      <c r="F90" s="101">
        <f t="shared" si="41"/>
        <v>1220</v>
      </c>
      <c r="G90" s="101"/>
      <c r="H90" s="101">
        <v>1220</v>
      </c>
      <c r="I90" s="289">
        <f t="shared" si="34"/>
        <v>81.333333333333329</v>
      </c>
      <c r="J90" s="289">
        <f t="shared" si="35"/>
        <v>0</v>
      </c>
      <c r="K90" s="289">
        <f t="shared" si="36"/>
        <v>0</v>
      </c>
    </row>
    <row r="91" spans="1:11">
      <c r="A91" s="99">
        <v>18</v>
      </c>
      <c r="B91" s="100" t="s">
        <v>757</v>
      </c>
      <c r="C91" s="101">
        <v>248</v>
      </c>
      <c r="D91" s="101">
        <v>248</v>
      </c>
      <c r="E91" s="101">
        <f t="shared" ref="E91:E93" si="42">C91-D91</f>
        <v>0</v>
      </c>
      <c r="F91" s="101">
        <f t="shared" si="41"/>
        <v>248</v>
      </c>
      <c r="G91" s="101">
        <v>248</v>
      </c>
      <c r="H91" s="101"/>
      <c r="I91" s="289">
        <f t="shared" si="34"/>
        <v>100</v>
      </c>
      <c r="J91" s="289">
        <f t="shared" si="35"/>
        <v>100</v>
      </c>
      <c r="K91" s="289">
        <f t="shared" si="36"/>
        <v>0</v>
      </c>
    </row>
    <row r="92" spans="1:11">
      <c r="A92" s="99">
        <v>19</v>
      </c>
      <c r="B92" s="100" t="s">
        <v>758</v>
      </c>
      <c r="C92" s="101">
        <v>150</v>
      </c>
      <c r="D92" s="101">
        <v>150</v>
      </c>
      <c r="E92" s="101">
        <f t="shared" si="42"/>
        <v>0</v>
      </c>
      <c r="F92" s="101">
        <f t="shared" si="41"/>
        <v>150</v>
      </c>
      <c r="G92" s="101">
        <v>150</v>
      </c>
      <c r="H92" s="101"/>
      <c r="I92" s="289">
        <f t="shared" si="34"/>
        <v>100</v>
      </c>
      <c r="J92" s="289">
        <f t="shared" si="35"/>
        <v>100</v>
      </c>
      <c r="K92" s="289">
        <f t="shared" si="36"/>
        <v>0</v>
      </c>
    </row>
    <row r="93" spans="1:11">
      <c r="A93" s="99">
        <v>20</v>
      </c>
      <c r="B93" s="100" t="s">
        <v>756</v>
      </c>
      <c r="C93" s="101">
        <v>5000</v>
      </c>
      <c r="D93" s="101">
        <v>5000</v>
      </c>
      <c r="E93" s="101">
        <f t="shared" si="42"/>
        <v>0</v>
      </c>
      <c r="F93" s="101">
        <f t="shared" si="41"/>
        <v>5000</v>
      </c>
      <c r="G93" s="101">
        <v>5000</v>
      </c>
      <c r="H93" s="101"/>
      <c r="I93" s="289">
        <f t="shared" si="34"/>
        <v>100</v>
      </c>
      <c r="J93" s="289">
        <f t="shared" si="35"/>
        <v>100</v>
      </c>
      <c r="K93" s="289">
        <f t="shared" si="36"/>
        <v>0</v>
      </c>
    </row>
    <row r="94" spans="1:11">
      <c r="A94" s="373" t="s">
        <v>52</v>
      </c>
      <c r="B94" s="374" t="s">
        <v>130</v>
      </c>
      <c r="C94" s="375"/>
      <c r="D94" s="375"/>
      <c r="E94" s="375"/>
      <c r="F94" s="375">
        <f>G94+H94</f>
        <v>2591890.6532200002</v>
      </c>
      <c r="G94" s="375">
        <v>1859411.5550220001</v>
      </c>
      <c r="H94" s="375">
        <v>732479.09819800011</v>
      </c>
      <c r="I94" s="376">
        <f t="shared" si="34"/>
        <v>0</v>
      </c>
      <c r="J94" s="376">
        <f t="shared" si="35"/>
        <v>0</v>
      </c>
      <c r="K94" s="376">
        <f t="shared" si="36"/>
        <v>0</v>
      </c>
    </row>
    <row r="95" spans="1:11">
      <c r="A95" s="295" t="s">
        <v>53</v>
      </c>
      <c r="B95" s="296" t="s">
        <v>1065</v>
      </c>
      <c r="C95" s="297"/>
      <c r="D95" s="297"/>
      <c r="E95" s="297"/>
      <c r="F95" s="297">
        <f>G95+H95</f>
        <v>210026.64608899999</v>
      </c>
      <c r="G95" s="297">
        <v>185107.980278</v>
      </c>
      <c r="H95" s="297">
        <v>24918.665810999999</v>
      </c>
      <c r="I95" s="298">
        <f t="shared" ref="I95" si="43">IF(C95=0,0,F95/C95*100)</f>
        <v>0</v>
      </c>
      <c r="J95" s="298">
        <f t="shared" ref="J95" si="44">IF(D95=0,0,G95/D95*100)</f>
        <v>0</v>
      </c>
      <c r="K95" s="298">
        <f t="shared" ref="K95" si="45">IF(E95=0,0,H95/E95*100)</f>
        <v>0</v>
      </c>
    </row>
    <row r="97" spans="1:11" ht="27" customHeight="1">
      <c r="A97" s="531" t="s">
        <v>1012</v>
      </c>
      <c r="B97" s="531"/>
      <c r="C97" s="531"/>
      <c r="D97" s="531"/>
      <c r="E97" s="531"/>
      <c r="F97" s="531"/>
      <c r="G97" s="531"/>
      <c r="H97" s="531"/>
      <c r="I97" s="531"/>
      <c r="J97" s="531"/>
      <c r="K97" s="531"/>
    </row>
    <row r="98" spans="1:11" ht="35.25" customHeight="1">
      <c r="A98" s="524" t="s">
        <v>1090</v>
      </c>
      <c r="B98" s="531"/>
      <c r="C98" s="531"/>
      <c r="D98" s="531"/>
      <c r="E98" s="531"/>
      <c r="F98" s="531"/>
      <c r="G98" s="531"/>
      <c r="H98" s="531"/>
      <c r="I98" s="531"/>
      <c r="J98" s="531"/>
      <c r="K98" s="531"/>
    </row>
  </sheetData>
  <mergeCells count="13">
    <mergeCell ref="J1:K1"/>
    <mergeCell ref="A98:K98"/>
    <mergeCell ref="A97:K97"/>
    <mergeCell ref="A2:K2"/>
    <mergeCell ref="A3:K3"/>
    <mergeCell ref="A5:A6"/>
    <mergeCell ref="B5:B6"/>
    <mergeCell ref="C5:C6"/>
    <mergeCell ref="D5:E5"/>
    <mergeCell ref="F5:F6"/>
    <mergeCell ref="G5:H5"/>
    <mergeCell ref="I5:K5"/>
    <mergeCell ref="J4:K4"/>
  </mergeCells>
  <dataValidations count="2">
    <dataValidation allowBlank="1" showInputMessage="1" showErrorMessage="1" prompt="Chưa bao gồm chi chuyển giao ngân sách " sqref="F8 H8" xr:uid="{00000000-0002-0000-0600-000000000000}"/>
    <dataValidation allowBlank="1" showInputMessage="1" showErrorMessage="1" prompt="Chưa bao gồm chi chuyển giao ngân sách _x000a_" sqref="G8" xr:uid="{00000000-0002-0000-0600-000001000000}"/>
  </dataValidations>
  <pageMargins left="0.7" right="0.7" top="0.75" bottom="0.75" header="0.3" footer="0.3"/>
  <pageSetup paperSize="9" scale="95"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L121"/>
  <sheetViews>
    <sheetView showZeros="0" topLeftCell="J1" zoomScale="85" zoomScaleNormal="85" zoomScaleSheetLayoutView="50" workbookViewId="0">
      <pane ySplit="10" topLeftCell="A11" activePane="bottomLeft" state="frozen"/>
      <selection pane="bottomLeft" activeCell="AJ5" sqref="AJ5"/>
    </sheetView>
  </sheetViews>
  <sheetFormatPr defaultRowHeight="15.75" outlineLevelCol="1"/>
  <cols>
    <col min="1" max="1" width="5.375" style="187" customWidth="1"/>
    <col min="2" max="2" width="45.125" style="187" customWidth="1"/>
    <col min="3" max="3" width="15.125" style="187" customWidth="1"/>
    <col min="4" max="4" width="16.375" style="187" customWidth="1"/>
    <col min="5" max="5" width="17.125" style="187" customWidth="1"/>
    <col min="6" max="8" width="17.125" style="187" hidden="1" customWidth="1" outlineLevel="1"/>
    <col min="9" max="9" width="15.875" style="187" customWidth="1" collapsed="1"/>
    <col min="10" max="10" width="15.875" style="187" customWidth="1"/>
    <col min="11" max="11" width="11.125" style="187" customWidth="1"/>
    <col min="12" max="12" width="11.875" style="187" customWidth="1"/>
    <col min="13" max="13" width="10.375" style="187" customWidth="1"/>
    <col min="14" max="14" width="16.375" style="187" customWidth="1"/>
    <col min="15" max="15" width="14.125" style="187" customWidth="1"/>
    <col min="16" max="16" width="15.875" style="187" customWidth="1"/>
    <col min="17" max="17" width="18.875" style="187" hidden="1" customWidth="1" outlineLevel="1"/>
    <col min="18" max="18" width="18.375" style="187" hidden="1" customWidth="1" outlineLevel="1"/>
    <col min="19" max="19" width="11.875" style="187" customWidth="1" collapsed="1"/>
    <col min="20" max="20" width="15.875" style="187" customWidth="1"/>
    <col min="21" max="21" width="15.625" style="187" customWidth="1"/>
    <col min="22" max="22" width="12.625" style="187" customWidth="1"/>
    <col min="23" max="23" width="11.125" style="187" customWidth="1"/>
    <col min="24" max="24" width="15.625" style="187" customWidth="1"/>
    <col min="25" max="25" width="13.75" style="187" hidden="1" customWidth="1" outlineLevel="1"/>
    <col min="26" max="26" width="11.75" style="187" hidden="1" customWidth="1" outlineLevel="1"/>
    <col min="27" max="27" width="15" style="187" customWidth="1" collapsed="1"/>
    <col min="28" max="28" width="9.25" style="187" customWidth="1"/>
    <col min="29" max="29" width="10.75" style="187" customWidth="1"/>
    <col min="30" max="30" width="9.75" style="187" customWidth="1"/>
    <col min="31" max="31" width="11.625" style="187" customWidth="1"/>
    <col min="32" max="32" width="9.125" style="471"/>
    <col min="33" max="33" width="12.75" style="187" bestFit="1" customWidth="1"/>
    <col min="34" max="34" width="20.125" style="187" bestFit="1" customWidth="1"/>
    <col min="35" max="262" width="9.125" style="187"/>
    <col min="263" max="263" width="5.375" style="187" customWidth="1"/>
    <col min="264" max="264" width="45.125" style="187" customWidth="1"/>
    <col min="265" max="266" width="12" style="187" customWidth="1"/>
    <col min="267" max="267" width="16.125" style="187" customWidth="1"/>
    <col min="268" max="268" width="7.75" style="187" customWidth="1"/>
    <col min="269" max="269" width="12" style="187" customWidth="1"/>
    <col min="270" max="271" width="9" style="187" customWidth="1"/>
    <col min="272" max="272" width="11.25" style="187" customWidth="1"/>
    <col min="273" max="274" width="12" style="187" customWidth="1"/>
    <col min="275" max="275" width="17.125" style="187" customWidth="1"/>
    <col min="276" max="276" width="9" style="187" customWidth="1"/>
    <col min="277" max="277" width="12" style="187" customWidth="1"/>
    <col min="278" max="279" width="9" style="187" customWidth="1"/>
    <col min="280" max="280" width="9.875" style="187" customWidth="1"/>
    <col min="281" max="281" width="10.125" style="187" customWidth="1"/>
    <col min="282" max="282" width="7.875" style="187" customWidth="1"/>
    <col min="283" max="283" width="8.625" style="187" customWidth="1"/>
    <col min="284" max="284" width="7.875" style="187" customWidth="1"/>
    <col min="285" max="285" width="8.75" style="187" customWidth="1"/>
    <col min="286" max="518" width="9.125" style="187"/>
    <col min="519" max="519" width="5.375" style="187" customWidth="1"/>
    <col min="520" max="520" width="45.125" style="187" customWidth="1"/>
    <col min="521" max="522" width="12" style="187" customWidth="1"/>
    <col min="523" max="523" width="16.125" style="187" customWidth="1"/>
    <col min="524" max="524" width="7.75" style="187" customWidth="1"/>
    <col min="525" max="525" width="12" style="187" customWidth="1"/>
    <col min="526" max="527" width="9" style="187" customWidth="1"/>
    <col min="528" max="528" width="11.25" style="187" customWidth="1"/>
    <col min="529" max="530" width="12" style="187" customWidth="1"/>
    <col min="531" max="531" width="17.125" style="187" customWidth="1"/>
    <col min="532" max="532" width="9" style="187" customWidth="1"/>
    <col min="533" max="533" width="12" style="187" customWidth="1"/>
    <col min="534" max="535" width="9" style="187" customWidth="1"/>
    <col min="536" max="536" width="9.875" style="187" customWidth="1"/>
    <col min="537" max="537" width="10.125" style="187" customWidth="1"/>
    <col min="538" max="538" width="7.875" style="187" customWidth="1"/>
    <col min="539" max="539" width="8.625" style="187" customWidth="1"/>
    <col min="540" max="540" width="7.875" style="187" customWidth="1"/>
    <col min="541" max="541" width="8.75" style="187" customWidth="1"/>
    <col min="542" max="774" width="9.125" style="187"/>
    <col min="775" max="775" width="5.375" style="187" customWidth="1"/>
    <col min="776" max="776" width="45.125" style="187" customWidth="1"/>
    <col min="777" max="778" width="12" style="187" customWidth="1"/>
    <col min="779" max="779" width="16.125" style="187" customWidth="1"/>
    <col min="780" max="780" width="7.75" style="187" customWidth="1"/>
    <col min="781" max="781" width="12" style="187" customWidth="1"/>
    <col min="782" max="783" width="9" style="187" customWidth="1"/>
    <col min="784" max="784" width="11.25" style="187" customWidth="1"/>
    <col min="785" max="786" width="12" style="187" customWidth="1"/>
    <col min="787" max="787" width="17.125" style="187" customWidth="1"/>
    <col min="788" max="788" width="9" style="187" customWidth="1"/>
    <col min="789" max="789" width="12" style="187" customWidth="1"/>
    <col min="790" max="791" width="9" style="187" customWidth="1"/>
    <col min="792" max="792" width="9.875" style="187" customWidth="1"/>
    <col min="793" max="793" width="10.125" style="187" customWidth="1"/>
    <col min="794" max="794" width="7.875" style="187" customWidth="1"/>
    <col min="795" max="795" width="8.625" style="187" customWidth="1"/>
    <col min="796" max="796" width="7.875" style="187" customWidth="1"/>
    <col min="797" max="797" width="8.75" style="187" customWidth="1"/>
    <col min="798" max="1030" width="9.125" style="187"/>
    <col min="1031" max="1031" width="5.375" style="187" customWidth="1"/>
    <col min="1032" max="1032" width="45.125" style="187" customWidth="1"/>
    <col min="1033" max="1034" width="12" style="187" customWidth="1"/>
    <col min="1035" max="1035" width="16.125" style="187" customWidth="1"/>
    <col min="1036" max="1036" width="7.75" style="187" customWidth="1"/>
    <col min="1037" max="1037" width="12" style="187" customWidth="1"/>
    <col min="1038" max="1039" width="9" style="187" customWidth="1"/>
    <col min="1040" max="1040" width="11.25" style="187" customWidth="1"/>
    <col min="1041" max="1042" width="12" style="187" customWidth="1"/>
    <col min="1043" max="1043" width="17.125" style="187" customWidth="1"/>
    <col min="1044" max="1044" width="9" style="187" customWidth="1"/>
    <col min="1045" max="1045" width="12" style="187" customWidth="1"/>
    <col min="1046" max="1047" width="9" style="187" customWidth="1"/>
    <col min="1048" max="1048" width="9.875" style="187" customWidth="1"/>
    <col min="1049" max="1049" width="10.125" style="187" customWidth="1"/>
    <col min="1050" max="1050" width="7.875" style="187" customWidth="1"/>
    <col min="1051" max="1051" width="8.625" style="187" customWidth="1"/>
    <col min="1052" max="1052" width="7.875" style="187" customWidth="1"/>
    <col min="1053" max="1053" width="8.75" style="187" customWidth="1"/>
    <col min="1054" max="1286" width="9.125" style="187"/>
    <col min="1287" max="1287" width="5.375" style="187" customWidth="1"/>
    <col min="1288" max="1288" width="45.125" style="187" customWidth="1"/>
    <col min="1289" max="1290" width="12" style="187" customWidth="1"/>
    <col min="1291" max="1291" width="16.125" style="187" customWidth="1"/>
    <col min="1292" max="1292" width="7.75" style="187" customWidth="1"/>
    <col min="1293" max="1293" width="12" style="187" customWidth="1"/>
    <col min="1294" max="1295" width="9" style="187" customWidth="1"/>
    <col min="1296" max="1296" width="11.25" style="187" customWidth="1"/>
    <col min="1297" max="1298" width="12" style="187" customWidth="1"/>
    <col min="1299" max="1299" width="17.125" style="187" customWidth="1"/>
    <col min="1300" max="1300" width="9" style="187" customWidth="1"/>
    <col min="1301" max="1301" width="12" style="187" customWidth="1"/>
    <col min="1302" max="1303" width="9" style="187" customWidth="1"/>
    <col min="1304" max="1304" width="9.875" style="187" customWidth="1"/>
    <col min="1305" max="1305" width="10.125" style="187" customWidth="1"/>
    <col min="1306" max="1306" width="7.875" style="187" customWidth="1"/>
    <col min="1307" max="1307" width="8.625" style="187" customWidth="1"/>
    <col min="1308" max="1308" width="7.875" style="187" customWidth="1"/>
    <col min="1309" max="1309" width="8.75" style="187" customWidth="1"/>
    <col min="1310" max="1542" width="9.125" style="187"/>
    <col min="1543" max="1543" width="5.375" style="187" customWidth="1"/>
    <col min="1544" max="1544" width="45.125" style="187" customWidth="1"/>
    <col min="1545" max="1546" width="12" style="187" customWidth="1"/>
    <col min="1547" max="1547" width="16.125" style="187" customWidth="1"/>
    <col min="1548" max="1548" width="7.75" style="187" customWidth="1"/>
    <col min="1549" max="1549" width="12" style="187" customWidth="1"/>
    <col min="1550" max="1551" width="9" style="187" customWidth="1"/>
    <col min="1552" max="1552" width="11.25" style="187" customWidth="1"/>
    <col min="1553" max="1554" width="12" style="187" customWidth="1"/>
    <col min="1555" max="1555" width="17.125" style="187" customWidth="1"/>
    <col min="1556" max="1556" width="9" style="187" customWidth="1"/>
    <col min="1557" max="1557" width="12" style="187" customWidth="1"/>
    <col min="1558" max="1559" width="9" style="187" customWidth="1"/>
    <col min="1560" max="1560" width="9.875" style="187" customWidth="1"/>
    <col min="1561" max="1561" width="10.125" style="187" customWidth="1"/>
    <col min="1562" max="1562" width="7.875" style="187" customWidth="1"/>
    <col min="1563" max="1563" width="8.625" style="187" customWidth="1"/>
    <col min="1564" max="1564" width="7.875" style="187" customWidth="1"/>
    <col min="1565" max="1565" width="8.75" style="187" customWidth="1"/>
    <col min="1566" max="1798" width="9.125" style="187"/>
    <col min="1799" max="1799" width="5.375" style="187" customWidth="1"/>
    <col min="1800" max="1800" width="45.125" style="187" customWidth="1"/>
    <col min="1801" max="1802" width="12" style="187" customWidth="1"/>
    <col min="1803" max="1803" width="16.125" style="187" customWidth="1"/>
    <col min="1804" max="1804" width="7.75" style="187" customWidth="1"/>
    <col min="1805" max="1805" width="12" style="187" customWidth="1"/>
    <col min="1806" max="1807" width="9" style="187" customWidth="1"/>
    <col min="1808" max="1808" width="11.25" style="187" customWidth="1"/>
    <col min="1809" max="1810" width="12" style="187" customWidth="1"/>
    <col min="1811" max="1811" width="17.125" style="187" customWidth="1"/>
    <col min="1812" max="1812" width="9" style="187" customWidth="1"/>
    <col min="1813" max="1813" width="12" style="187" customWidth="1"/>
    <col min="1814" max="1815" width="9" style="187" customWidth="1"/>
    <col min="1816" max="1816" width="9.875" style="187" customWidth="1"/>
    <col min="1817" max="1817" width="10.125" style="187" customWidth="1"/>
    <col min="1818" max="1818" width="7.875" style="187" customWidth="1"/>
    <col min="1819" max="1819" width="8.625" style="187" customWidth="1"/>
    <col min="1820" max="1820" width="7.875" style="187" customWidth="1"/>
    <col min="1821" max="1821" width="8.75" style="187" customWidth="1"/>
    <col min="1822" max="2054" width="9.125" style="187"/>
    <col min="2055" max="2055" width="5.375" style="187" customWidth="1"/>
    <col min="2056" max="2056" width="45.125" style="187" customWidth="1"/>
    <col min="2057" max="2058" width="12" style="187" customWidth="1"/>
    <col min="2059" max="2059" width="16.125" style="187" customWidth="1"/>
    <col min="2060" max="2060" width="7.75" style="187" customWidth="1"/>
    <col min="2061" max="2061" width="12" style="187" customWidth="1"/>
    <col min="2062" max="2063" width="9" style="187" customWidth="1"/>
    <col min="2064" max="2064" width="11.25" style="187" customWidth="1"/>
    <col min="2065" max="2066" width="12" style="187" customWidth="1"/>
    <col min="2067" max="2067" width="17.125" style="187" customWidth="1"/>
    <col min="2068" max="2068" width="9" style="187" customWidth="1"/>
    <col min="2069" max="2069" width="12" style="187" customWidth="1"/>
    <col min="2070" max="2071" width="9" style="187" customWidth="1"/>
    <col min="2072" max="2072" width="9.875" style="187" customWidth="1"/>
    <col min="2073" max="2073" width="10.125" style="187" customWidth="1"/>
    <col min="2074" max="2074" width="7.875" style="187" customWidth="1"/>
    <col min="2075" max="2075" width="8.625" style="187" customWidth="1"/>
    <col min="2076" max="2076" width="7.875" style="187" customWidth="1"/>
    <col min="2077" max="2077" width="8.75" style="187" customWidth="1"/>
    <col min="2078" max="2310" width="9.125" style="187"/>
    <col min="2311" max="2311" width="5.375" style="187" customWidth="1"/>
    <col min="2312" max="2312" width="45.125" style="187" customWidth="1"/>
    <col min="2313" max="2314" width="12" style="187" customWidth="1"/>
    <col min="2315" max="2315" width="16.125" style="187" customWidth="1"/>
    <col min="2316" max="2316" width="7.75" style="187" customWidth="1"/>
    <col min="2317" max="2317" width="12" style="187" customWidth="1"/>
    <col min="2318" max="2319" width="9" style="187" customWidth="1"/>
    <col min="2320" max="2320" width="11.25" style="187" customWidth="1"/>
    <col min="2321" max="2322" width="12" style="187" customWidth="1"/>
    <col min="2323" max="2323" width="17.125" style="187" customWidth="1"/>
    <col min="2324" max="2324" width="9" style="187" customWidth="1"/>
    <col min="2325" max="2325" width="12" style="187" customWidth="1"/>
    <col min="2326" max="2327" width="9" style="187" customWidth="1"/>
    <col min="2328" max="2328" width="9.875" style="187" customWidth="1"/>
    <col min="2329" max="2329" width="10.125" style="187" customWidth="1"/>
    <col min="2330" max="2330" width="7.875" style="187" customWidth="1"/>
    <col min="2331" max="2331" width="8.625" style="187" customWidth="1"/>
    <col min="2332" max="2332" width="7.875" style="187" customWidth="1"/>
    <col min="2333" max="2333" width="8.75" style="187" customWidth="1"/>
    <col min="2334" max="2566" width="9.125" style="187"/>
    <col min="2567" max="2567" width="5.375" style="187" customWidth="1"/>
    <col min="2568" max="2568" width="45.125" style="187" customWidth="1"/>
    <col min="2569" max="2570" width="12" style="187" customWidth="1"/>
    <col min="2571" max="2571" width="16.125" style="187" customWidth="1"/>
    <col min="2572" max="2572" width="7.75" style="187" customWidth="1"/>
    <col min="2573" max="2573" width="12" style="187" customWidth="1"/>
    <col min="2574" max="2575" width="9" style="187" customWidth="1"/>
    <col min="2576" max="2576" width="11.25" style="187" customWidth="1"/>
    <col min="2577" max="2578" width="12" style="187" customWidth="1"/>
    <col min="2579" max="2579" width="17.125" style="187" customWidth="1"/>
    <col min="2580" max="2580" width="9" style="187" customWidth="1"/>
    <col min="2581" max="2581" width="12" style="187" customWidth="1"/>
    <col min="2582" max="2583" width="9" style="187" customWidth="1"/>
    <col min="2584" max="2584" width="9.875" style="187" customWidth="1"/>
    <col min="2585" max="2585" width="10.125" style="187" customWidth="1"/>
    <col min="2586" max="2586" width="7.875" style="187" customWidth="1"/>
    <col min="2587" max="2587" width="8.625" style="187" customWidth="1"/>
    <col min="2588" max="2588" width="7.875" style="187" customWidth="1"/>
    <col min="2589" max="2589" width="8.75" style="187" customWidth="1"/>
    <col min="2590" max="2822" width="9.125" style="187"/>
    <col min="2823" max="2823" width="5.375" style="187" customWidth="1"/>
    <col min="2824" max="2824" width="45.125" style="187" customWidth="1"/>
    <col min="2825" max="2826" width="12" style="187" customWidth="1"/>
    <col min="2827" max="2827" width="16.125" style="187" customWidth="1"/>
    <col min="2828" max="2828" width="7.75" style="187" customWidth="1"/>
    <col min="2829" max="2829" width="12" style="187" customWidth="1"/>
    <col min="2830" max="2831" width="9" style="187" customWidth="1"/>
    <col min="2832" max="2832" width="11.25" style="187" customWidth="1"/>
    <col min="2833" max="2834" width="12" style="187" customWidth="1"/>
    <col min="2835" max="2835" width="17.125" style="187" customWidth="1"/>
    <col min="2836" max="2836" width="9" style="187" customWidth="1"/>
    <col min="2837" max="2837" width="12" style="187" customWidth="1"/>
    <col min="2838" max="2839" width="9" style="187" customWidth="1"/>
    <col min="2840" max="2840" width="9.875" style="187" customWidth="1"/>
    <col min="2841" max="2841" width="10.125" style="187" customWidth="1"/>
    <col min="2842" max="2842" width="7.875" style="187" customWidth="1"/>
    <col min="2843" max="2843" width="8.625" style="187" customWidth="1"/>
    <col min="2844" max="2844" width="7.875" style="187" customWidth="1"/>
    <col min="2845" max="2845" width="8.75" style="187" customWidth="1"/>
    <col min="2846" max="3078" width="9.125" style="187"/>
    <col min="3079" max="3079" width="5.375" style="187" customWidth="1"/>
    <col min="3080" max="3080" width="45.125" style="187" customWidth="1"/>
    <col min="3081" max="3082" width="12" style="187" customWidth="1"/>
    <col min="3083" max="3083" width="16.125" style="187" customWidth="1"/>
    <col min="3084" max="3084" width="7.75" style="187" customWidth="1"/>
    <col min="3085" max="3085" width="12" style="187" customWidth="1"/>
    <col min="3086" max="3087" width="9" style="187" customWidth="1"/>
    <col min="3088" max="3088" width="11.25" style="187" customWidth="1"/>
    <col min="3089" max="3090" width="12" style="187" customWidth="1"/>
    <col min="3091" max="3091" width="17.125" style="187" customWidth="1"/>
    <col min="3092" max="3092" width="9" style="187" customWidth="1"/>
    <col min="3093" max="3093" width="12" style="187" customWidth="1"/>
    <col min="3094" max="3095" width="9" style="187" customWidth="1"/>
    <col min="3096" max="3096" width="9.875" style="187" customWidth="1"/>
    <col min="3097" max="3097" width="10.125" style="187" customWidth="1"/>
    <col min="3098" max="3098" width="7.875" style="187" customWidth="1"/>
    <col min="3099" max="3099" width="8.625" style="187" customWidth="1"/>
    <col min="3100" max="3100" width="7.875" style="187" customWidth="1"/>
    <col min="3101" max="3101" width="8.75" style="187" customWidth="1"/>
    <col min="3102" max="3334" width="9.125" style="187"/>
    <col min="3335" max="3335" width="5.375" style="187" customWidth="1"/>
    <col min="3336" max="3336" width="45.125" style="187" customWidth="1"/>
    <col min="3337" max="3338" width="12" style="187" customWidth="1"/>
    <col min="3339" max="3339" width="16.125" style="187" customWidth="1"/>
    <col min="3340" max="3340" width="7.75" style="187" customWidth="1"/>
    <col min="3341" max="3341" width="12" style="187" customWidth="1"/>
    <col min="3342" max="3343" width="9" style="187" customWidth="1"/>
    <col min="3344" max="3344" width="11.25" style="187" customWidth="1"/>
    <col min="3345" max="3346" width="12" style="187" customWidth="1"/>
    <col min="3347" max="3347" width="17.125" style="187" customWidth="1"/>
    <col min="3348" max="3348" width="9" style="187" customWidth="1"/>
    <col min="3349" max="3349" width="12" style="187" customWidth="1"/>
    <col min="3350" max="3351" width="9" style="187" customWidth="1"/>
    <col min="3352" max="3352" width="9.875" style="187" customWidth="1"/>
    <col min="3353" max="3353" width="10.125" style="187" customWidth="1"/>
    <col min="3354" max="3354" width="7.875" style="187" customWidth="1"/>
    <col min="3355" max="3355" width="8.625" style="187" customWidth="1"/>
    <col min="3356" max="3356" width="7.875" style="187" customWidth="1"/>
    <col min="3357" max="3357" width="8.75" style="187" customWidth="1"/>
    <col min="3358" max="3590" width="9.125" style="187"/>
    <col min="3591" max="3591" width="5.375" style="187" customWidth="1"/>
    <col min="3592" max="3592" width="45.125" style="187" customWidth="1"/>
    <col min="3593" max="3594" width="12" style="187" customWidth="1"/>
    <col min="3595" max="3595" width="16.125" style="187" customWidth="1"/>
    <col min="3596" max="3596" width="7.75" style="187" customWidth="1"/>
    <col min="3597" max="3597" width="12" style="187" customWidth="1"/>
    <col min="3598" max="3599" width="9" style="187" customWidth="1"/>
    <col min="3600" max="3600" width="11.25" style="187" customWidth="1"/>
    <col min="3601" max="3602" width="12" style="187" customWidth="1"/>
    <col min="3603" max="3603" width="17.125" style="187" customWidth="1"/>
    <col min="3604" max="3604" width="9" style="187" customWidth="1"/>
    <col min="3605" max="3605" width="12" style="187" customWidth="1"/>
    <col min="3606" max="3607" width="9" style="187" customWidth="1"/>
    <col min="3608" max="3608" width="9.875" style="187" customWidth="1"/>
    <col min="3609" max="3609" width="10.125" style="187" customWidth="1"/>
    <col min="3610" max="3610" width="7.875" style="187" customWidth="1"/>
    <col min="3611" max="3611" width="8.625" style="187" customWidth="1"/>
    <col min="3612" max="3612" width="7.875" style="187" customWidth="1"/>
    <col min="3613" max="3613" width="8.75" style="187" customWidth="1"/>
    <col min="3614" max="3846" width="9.125" style="187"/>
    <col min="3847" max="3847" width="5.375" style="187" customWidth="1"/>
    <col min="3848" max="3848" width="45.125" style="187" customWidth="1"/>
    <col min="3849" max="3850" width="12" style="187" customWidth="1"/>
    <col min="3851" max="3851" width="16.125" style="187" customWidth="1"/>
    <col min="3852" max="3852" width="7.75" style="187" customWidth="1"/>
    <col min="3853" max="3853" width="12" style="187" customWidth="1"/>
    <col min="3854" max="3855" width="9" style="187" customWidth="1"/>
    <col min="3856" max="3856" width="11.25" style="187" customWidth="1"/>
    <col min="3857" max="3858" width="12" style="187" customWidth="1"/>
    <col min="3859" max="3859" width="17.125" style="187" customWidth="1"/>
    <col min="3860" max="3860" width="9" style="187" customWidth="1"/>
    <col min="3861" max="3861" width="12" style="187" customWidth="1"/>
    <col min="3862" max="3863" width="9" style="187" customWidth="1"/>
    <col min="3864" max="3864" width="9.875" style="187" customWidth="1"/>
    <col min="3865" max="3865" width="10.125" style="187" customWidth="1"/>
    <col min="3866" max="3866" width="7.875" style="187" customWidth="1"/>
    <col min="3867" max="3867" width="8.625" style="187" customWidth="1"/>
    <col min="3868" max="3868" width="7.875" style="187" customWidth="1"/>
    <col min="3869" max="3869" width="8.75" style="187" customWidth="1"/>
    <col min="3870" max="4102" width="9.125" style="187"/>
    <col min="4103" max="4103" width="5.375" style="187" customWidth="1"/>
    <col min="4104" max="4104" width="45.125" style="187" customWidth="1"/>
    <col min="4105" max="4106" width="12" style="187" customWidth="1"/>
    <col min="4107" max="4107" width="16.125" style="187" customWidth="1"/>
    <col min="4108" max="4108" width="7.75" style="187" customWidth="1"/>
    <col min="4109" max="4109" width="12" style="187" customWidth="1"/>
    <col min="4110" max="4111" width="9" style="187" customWidth="1"/>
    <col min="4112" max="4112" width="11.25" style="187" customWidth="1"/>
    <col min="4113" max="4114" width="12" style="187" customWidth="1"/>
    <col min="4115" max="4115" width="17.125" style="187" customWidth="1"/>
    <col min="4116" max="4116" width="9" style="187" customWidth="1"/>
    <col min="4117" max="4117" width="12" style="187" customWidth="1"/>
    <col min="4118" max="4119" width="9" style="187" customWidth="1"/>
    <col min="4120" max="4120" width="9.875" style="187" customWidth="1"/>
    <col min="4121" max="4121" width="10.125" style="187" customWidth="1"/>
    <col min="4122" max="4122" width="7.875" style="187" customWidth="1"/>
    <col min="4123" max="4123" width="8.625" style="187" customWidth="1"/>
    <col min="4124" max="4124" width="7.875" style="187" customWidth="1"/>
    <col min="4125" max="4125" width="8.75" style="187" customWidth="1"/>
    <col min="4126" max="4358" width="9.125" style="187"/>
    <col min="4359" max="4359" width="5.375" style="187" customWidth="1"/>
    <col min="4360" max="4360" width="45.125" style="187" customWidth="1"/>
    <col min="4361" max="4362" width="12" style="187" customWidth="1"/>
    <col min="4363" max="4363" width="16.125" style="187" customWidth="1"/>
    <col min="4364" max="4364" width="7.75" style="187" customWidth="1"/>
    <col min="4365" max="4365" width="12" style="187" customWidth="1"/>
    <col min="4366" max="4367" width="9" style="187" customWidth="1"/>
    <col min="4368" max="4368" width="11.25" style="187" customWidth="1"/>
    <col min="4369" max="4370" width="12" style="187" customWidth="1"/>
    <col min="4371" max="4371" width="17.125" style="187" customWidth="1"/>
    <col min="4372" max="4372" width="9" style="187" customWidth="1"/>
    <col min="4373" max="4373" width="12" style="187" customWidth="1"/>
    <col min="4374" max="4375" width="9" style="187" customWidth="1"/>
    <col min="4376" max="4376" width="9.875" style="187" customWidth="1"/>
    <col min="4377" max="4377" width="10.125" style="187" customWidth="1"/>
    <col min="4378" max="4378" width="7.875" style="187" customWidth="1"/>
    <col min="4379" max="4379" width="8.625" style="187" customWidth="1"/>
    <col min="4380" max="4380" width="7.875" style="187" customWidth="1"/>
    <col min="4381" max="4381" width="8.75" style="187" customWidth="1"/>
    <col min="4382" max="4614" width="9.125" style="187"/>
    <col min="4615" max="4615" width="5.375" style="187" customWidth="1"/>
    <col min="4616" max="4616" width="45.125" style="187" customWidth="1"/>
    <col min="4617" max="4618" width="12" style="187" customWidth="1"/>
    <col min="4619" max="4619" width="16.125" style="187" customWidth="1"/>
    <col min="4620" max="4620" width="7.75" style="187" customWidth="1"/>
    <col min="4621" max="4621" width="12" style="187" customWidth="1"/>
    <col min="4622" max="4623" width="9" style="187" customWidth="1"/>
    <col min="4624" max="4624" width="11.25" style="187" customWidth="1"/>
    <col min="4625" max="4626" width="12" style="187" customWidth="1"/>
    <col min="4627" max="4627" width="17.125" style="187" customWidth="1"/>
    <col min="4628" max="4628" width="9" style="187" customWidth="1"/>
    <col min="4629" max="4629" width="12" style="187" customWidth="1"/>
    <col min="4630" max="4631" width="9" style="187" customWidth="1"/>
    <col min="4632" max="4632" width="9.875" style="187" customWidth="1"/>
    <col min="4633" max="4633" width="10.125" style="187" customWidth="1"/>
    <col min="4634" max="4634" width="7.875" style="187" customWidth="1"/>
    <col min="4635" max="4635" width="8.625" style="187" customWidth="1"/>
    <col min="4636" max="4636" width="7.875" style="187" customWidth="1"/>
    <col min="4637" max="4637" width="8.75" style="187" customWidth="1"/>
    <col min="4638" max="4870" width="9.125" style="187"/>
    <col min="4871" max="4871" width="5.375" style="187" customWidth="1"/>
    <col min="4872" max="4872" width="45.125" style="187" customWidth="1"/>
    <col min="4873" max="4874" width="12" style="187" customWidth="1"/>
    <col min="4875" max="4875" width="16.125" style="187" customWidth="1"/>
    <col min="4876" max="4876" width="7.75" style="187" customWidth="1"/>
    <col min="4877" max="4877" width="12" style="187" customWidth="1"/>
    <col min="4878" max="4879" width="9" style="187" customWidth="1"/>
    <col min="4880" max="4880" width="11.25" style="187" customWidth="1"/>
    <col min="4881" max="4882" width="12" style="187" customWidth="1"/>
    <col min="4883" max="4883" width="17.125" style="187" customWidth="1"/>
    <col min="4884" max="4884" width="9" style="187" customWidth="1"/>
    <col min="4885" max="4885" width="12" style="187" customWidth="1"/>
    <col min="4886" max="4887" width="9" style="187" customWidth="1"/>
    <col min="4888" max="4888" width="9.875" style="187" customWidth="1"/>
    <col min="4889" max="4889" width="10.125" style="187" customWidth="1"/>
    <col min="4890" max="4890" width="7.875" style="187" customWidth="1"/>
    <col min="4891" max="4891" width="8.625" style="187" customWidth="1"/>
    <col min="4892" max="4892" width="7.875" style="187" customWidth="1"/>
    <col min="4893" max="4893" width="8.75" style="187" customWidth="1"/>
    <col min="4894" max="5126" width="9.125" style="187"/>
    <col min="5127" max="5127" width="5.375" style="187" customWidth="1"/>
    <col min="5128" max="5128" width="45.125" style="187" customWidth="1"/>
    <col min="5129" max="5130" width="12" style="187" customWidth="1"/>
    <col min="5131" max="5131" width="16.125" style="187" customWidth="1"/>
    <col min="5132" max="5132" width="7.75" style="187" customWidth="1"/>
    <col min="5133" max="5133" width="12" style="187" customWidth="1"/>
    <col min="5134" max="5135" width="9" style="187" customWidth="1"/>
    <col min="5136" max="5136" width="11.25" style="187" customWidth="1"/>
    <col min="5137" max="5138" width="12" style="187" customWidth="1"/>
    <col min="5139" max="5139" width="17.125" style="187" customWidth="1"/>
    <col min="5140" max="5140" width="9" style="187" customWidth="1"/>
    <col min="5141" max="5141" width="12" style="187" customWidth="1"/>
    <col min="5142" max="5143" width="9" style="187" customWidth="1"/>
    <col min="5144" max="5144" width="9.875" style="187" customWidth="1"/>
    <col min="5145" max="5145" width="10.125" style="187" customWidth="1"/>
    <col min="5146" max="5146" width="7.875" style="187" customWidth="1"/>
    <col min="5147" max="5147" width="8.625" style="187" customWidth="1"/>
    <col min="5148" max="5148" width="7.875" style="187" customWidth="1"/>
    <col min="5149" max="5149" width="8.75" style="187" customWidth="1"/>
    <col min="5150" max="5382" width="9.125" style="187"/>
    <col min="5383" max="5383" width="5.375" style="187" customWidth="1"/>
    <col min="5384" max="5384" width="45.125" style="187" customWidth="1"/>
    <col min="5385" max="5386" width="12" style="187" customWidth="1"/>
    <col min="5387" max="5387" width="16.125" style="187" customWidth="1"/>
    <col min="5388" max="5388" width="7.75" style="187" customWidth="1"/>
    <col min="5389" max="5389" width="12" style="187" customWidth="1"/>
    <col min="5390" max="5391" width="9" style="187" customWidth="1"/>
    <col min="5392" max="5392" width="11.25" style="187" customWidth="1"/>
    <col min="5393" max="5394" width="12" style="187" customWidth="1"/>
    <col min="5395" max="5395" width="17.125" style="187" customWidth="1"/>
    <col min="5396" max="5396" width="9" style="187" customWidth="1"/>
    <col min="5397" max="5397" width="12" style="187" customWidth="1"/>
    <col min="5398" max="5399" width="9" style="187" customWidth="1"/>
    <col min="5400" max="5400" width="9.875" style="187" customWidth="1"/>
    <col min="5401" max="5401" width="10.125" style="187" customWidth="1"/>
    <col min="5402" max="5402" width="7.875" style="187" customWidth="1"/>
    <col min="5403" max="5403" width="8.625" style="187" customWidth="1"/>
    <col min="5404" max="5404" width="7.875" style="187" customWidth="1"/>
    <col min="5405" max="5405" width="8.75" style="187" customWidth="1"/>
    <col min="5406" max="5638" width="9.125" style="187"/>
    <col min="5639" max="5639" width="5.375" style="187" customWidth="1"/>
    <col min="5640" max="5640" width="45.125" style="187" customWidth="1"/>
    <col min="5641" max="5642" width="12" style="187" customWidth="1"/>
    <col min="5643" max="5643" width="16.125" style="187" customWidth="1"/>
    <col min="5644" max="5644" width="7.75" style="187" customWidth="1"/>
    <col min="5645" max="5645" width="12" style="187" customWidth="1"/>
    <col min="5646" max="5647" width="9" style="187" customWidth="1"/>
    <col min="5648" max="5648" width="11.25" style="187" customWidth="1"/>
    <col min="5649" max="5650" width="12" style="187" customWidth="1"/>
    <col min="5651" max="5651" width="17.125" style="187" customWidth="1"/>
    <col min="5652" max="5652" width="9" style="187" customWidth="1"/>
    <col min="5653" max="5653" width="12" style="187" customWidth="1"/>
    <col min="5654" max="5655" width="9" style="187" customWidth="1"/>
    <col min="5656" max="5656" width="9.875" style="187" customWidth="1"/>
    <col min="5657" max="5657" width="10.125" style="187" customWidth="1"/>
    <col min="5658" max="5658" width="7.875" style="187" customWidth="1"/>
    <col min="5659" max="5659" width="8.625" style="187" customWidth="1"/>
    <col min="5660" max="5660" width="7.875" style="187" customWidth="1"/>
    <col min="5661" max="5661" width="8.75" style="187" customWidth="1"/>
    <col min="5662" max="5894" width="9.125" style="187"/>
    <col min="5895" max="5895" width="5.375" style="187" customWidth="1"/>
    <col min="5896" max="5896" width="45.125" style="187" customWidth="1"/>
    <col min="5897" max="5898" width="12" style="187" customWidth="1"/>
    <col min="5899" max="5899" width="16.125" style="187" customWidth="1"/>
    <col min="5900" max="5900" width="7.75" style="187" customWidth="1"/>
    <col min="5901" max="5901" width="12" style="187" customWidth="1"/>
    <col min="5902" max="5903" width="9" style="187" customWidth="1"/>
    <col min="5904" max="5904" width="11.25" style="187" customWidth="1"/>
    <col min="5905" max="5906" width="12" style="187" customWidth="1"/>
    <col min="5907" max="5907" width="17.125" style="187" customWidth="1"/>
    <col min="5908" max="5908" width="9" style="187" customWidth="1"/>
    <col min="5909" max="5909" width="12" style="187" customWidth="1"/>
    <col min="5910" max="5911" width="9" style="187" customWidth="1"/>
    <col min="5912" max="5912" width="9.875" style="187" customWidth="1"/>
    <col min="5913" max="5913" width="10.125" style="187" customWidth="1"/>
    <col min="5914" max="5914" width="7.875" style="187" customWidth="1"/>
    <col min="5915" max="5915" width="8.625" style="187" customWidth="1"/>
    <col min="5916" max="5916" width="7.875" style="187" customWidth="1"/>
    <col min="5917" max="5917" width="8.75" style="187" customWidth="1"/>
    <col min="5918" max="6150" width="9.125" style="187"/>
    <col min="6151" max="6151" width="5.375" style="187" customWidth="1"/>
    <col min="6152" max="6152" width="45.125" style="187" customWidth="1"/>
    <col min="6153" max="6154" width="12" style="187" customWidth="1"/>
    <col min="6155" max="6155" width="16.125" style="187" customWidth="1"/>
    <col min="6156" max="6156" width="7.75" style="187" customWidth="1"/>
    <col min="6157" max="6157" width="12" style="187" customWidth="1"/>
    <col min="6158" max="6159" width="9" style="187" customWidth="1"/>
    <col min="6160" max="6160" width="11.25" style="187" customWidth="1"/>
    <col min="6161" max="6162" width="12" style="187" customWidth="1"/>
    <col min="6163" max="6163" width="17.125" style="187" customWidth="1"/>
    <col min="6164" max="6164" width="9" style="187" customWidth="1"/>
    <col min="6165" max="6165" width="12" style="187" customWidth="1"/>
    <col min="6166" max="6167" width="9" style="187" customWidth="1"/>
    <col min="6168" max="6168" width="9.875" style="187" customWidth="1"/>
    <col min="6169" max="6169" width="10.125" style="187" customWidth="1"/>
    <col min="6170" max="6170" width="7.875" style="187" customWidth="1"/>
    <col min="6171" max="6171" width="8.625" style="187" customWidth="1"/>
    <col min="6172" max="6172" width="7.875" style="187" customWidth="1"/>
    <col min="6173" max="6173" width="8.75" style="187" customWidth="1"/>
    <col min="6174" max="6406" width="9.125" style="187"/>
    <col min="6407" max="6407" width="5.375" style="187" customWidth="1"/>
    <col min="6408" max="6408" width="45.125" style="187" customWidth="1"/>
    <col min="6409" max="6410" width="12" style="187" customWidth="1"/>
    <col min="6411" max="6411" width="16.125" style="187" customWidth="1"/>
    <col min="6412" max="6412" width="7.75" style="187" customWidth="1"/>
    <col min="6413" max="6413" width="12" style="187" customWidth="1"/>
    <col min="6414" max="6415" width="9" style="187" customWidth="1"/>
    <col min="6416" max="6416" width="11.25" style="187" customWidth="1"/>
    <col min="6417" max="6418" width="12" style="187" customWidth="1"/>
    <col min="6419" max="6419" width="17.125" style="187" customWidth="1"/>
    <col min="6420" max="6420" width="9" style="187" customWidth="1"/>
    <col min="6421" max="6421" width="12" style="187" customWidth="1"/>
    <col min="6422" max="6423" width="9" style="187" customWidth="1"/>
    <col min="6424" max="6424" width="9.875" style="187" customWidth="1"/>
    <col min="6425" max="6425" width="10.125" style="187" customWidth="1"/>
    <col min="6426" max="6426" width="7.875" style="187" customWidth="1"/>
    <col min="6427" max="6427" width="8.625" style="187" customWidth="1"/>
    <col min="6428" max="6428" width="7.875" style="187" customWidth="1"/>
    <col min="6429" max="6429" width="8.75" style="187" customWidth="1"/>
    <col min="6430" max="6662" width="9.125" style="187"/>
    <col min="6663" max="6663" width="5.375" style="187" customWidth="1"/>
    <col min="6664" max="6664" width="45.125" style="187" customWidth="1"/>
    <col min="6665" max="6666" width="12" style="187" customWidth="1"/>
    <col min="6667" max="6667" width="16.125" style="187" customWidth="1"/>
    <col min="6668" max="6668" width="7.75" style="187" customWidth="1"/>
    <col min="6669" max="6669" width="12" style="187" customWidth="1"/>
    <col min="6670" max="6671" width="9" style="187" customWidth="1"/>
    <col min="6672" max="6672" width="11.25" style="187" customWidth="1"/>
    <col min="6673" max="6674" width="12" style="187" customWidth="1"/>
    <col min="6675" max="6675" width="17.125" style="187" customWidth="1"/>
    <col min="6676" max="6676" width="9" style="187" customWidth="1"/>
    <col min="6677" max="6677" width="12" style="187" customWidth="1"/>
    <col min="6678" max="6679" width="9" style="187" customWidth="1"/>
    <col min="6680" max="6680" width="9.875" style="187" customWidth="1"/>
    <col min="6681" max="6681" width="10.125" style="187" customWidth="1"/>
    <col min="6682" max="6682" width="7.875" style="187" customWidth="1"/>
    <col min="6683" max="6683" width="8.625" style="187" customWidth="1"/>
    <col min="6684" max="6684" width="7.875" style="187" customWidth="1"/>
    <col min="6685" max="6685" width="8.75" style="187" customWidth="1"/>
    <col min="6686" max="6918" width="9.125" style="187"/>
    <col min="6919" max="6919" width="5.375" style="187" customWidth="1"/>
    <col min="6920" max="6920" width="45.125" style="187" customWidth="1"/>
    <col min="6921" max="6922" width="12" style="187" customWidth="1"/>
    <col min="6923" max="6923" width="16.125" style="187" customWidth="1"/>
    <col min="6924" max="6924" width="7.75" style="187" customWidth="1"/>
    <col min="6925" max="6925" width="12" style="187" customWidth="1"/>
    <col min="6926" max="6927" width="9" style="187" customWidth="1"/>
    <col min="6928" max="6928" width="11.25" style="187" customWidth="1"/>
    <col min="6929" max="6930" width="12" style="187" customWidth="1"/>
    <col min="6931" max="6931" width="17.125" style="187" customWidth="1"/>
    <col min="6932" max="6932" width="9" style="187" customWidth="1"/>
    <col min="6933" max="6933" width="12" style="187" customWidth="1"/>
    <col min="6934" max="6935" width="9" style="187" customWidth="1"/>
    <col min="6936" max="6936" width="9.875" style="187" customWidth="1"/>
    <col min="6937" max="6937" width="10.125" style="187" customWidth="1"/>
    <col min="6938" max="6938" width="7.875" style="187" customWidth="1"/>
    <col min="6939" max="6939" width="8.625" style="187" customWidth="1"/>
    <col min="6940" max="6940" width="7.875" style="187" customWidth="1"/>
    <col min="6941" max="6941" width="8.75" style="187" customWidth="1"/>
    <col min="6942" max="7174" width="9.125" style="187"/>
    <col min="7175" max="7175" width="5.375" style="187" customWidth="1"/>
    <col min="7176" max="7176" width="45.125" style="187" customWidth="1"/>
    <col min="7177" max="7178" width="12" style="187" customWidth="1"/>
    <col min="7179" max="7179" width="16.125" style="187" customWidth="1"/>
    <col min="7180" max="7180" width="7.75" style="187" customWidth="1"/>
    <col min="7181" max="7181" width="12" style="187" customWidth="1"/>
    <col min="7182" max="7183" width="9" style="187" customWidth="1"/>
    <col min="7184" max="7184" width="11.25" style="187" customWidth="1"/>
    <col min="7185" max="7186" width="12" style="187" customWidth="1"/>
    <col min="7187" max="7187" width="17.125" style="187" customWidth="1"/>
    <col min="7188" max="7188" width="9" style="187" customWidth="1"/>
    <col min="7189" max="7189" width="12" style="187" customWidth="1"/>
    <col min="7190" max="7191" width="9" style="187" customWidth="1"/>
    <col min="7192" max="7192" width="9.875" style="187" customWidth="1"/>
    <col min="7193" max="7193" width="10.125" style="187" customWidth="1"/>
    <col min="7194" max="7194" width="7.875" style="187" customWidth="1"/>
    <col min="7195" max="7195" width="8.625" style="187" customWidth="1"/>
    <col min="7196" max="7196" width="7.875" style="187" customWidth="1"/>
    <col min="7197" max="7197" width="8.75" style="187" customWidth="1"/>
    <col min="7198" max="7430" width="9.125" style="187"/>
    <col min="7431" max="7431" width="5.375" style="187" customWidth="1"/>
    <col min="7432" max="7432" width="45.125" style="187" customWidth="1"/>
    <col min="7433" max="7434" width="12" style="187" customWidth="1"/>
    <col min="7435" max="7435" width="16.125" style="187" customWidth="1"/>
    <col min="7436" max="7436" width="7.75" style="187" customWidth="1"/>
    <col min="7437" max="7437" width="12" style="187" customWidth="1"/>
    <col min="7438" max="7439" width="9" style="187" customWidth="1"/>
    <col min="7440" max="7440" width="11.25" style="187" customWidth="1"/>
    <col min="7441" max="7442" width="12" style="187" customWidth="1"/>
    <col min="7443" max="7443" width="17.125" style="187" customWidth="1"/>
    <col min="7444" max="7444" width="9" style="187" customWidth="1"/>
    <col min="7445" max="7445" width="12" style="187" customWidth="1"/>
    <col min="7446" max="7447" width="9" style="187" customWidth="1"/>
    <col min="7448" max="7448" width="9.875" style="187" customWidth="1"/>
    <col min="7449" max="7449" width="10.125" style="187" customWidth="1"/>
    <col min="7450" max="7450" width="7.875" style="187" customWidth="1"/>
    <col min="7451" max="7451" width="8.625" style="187" customWidth="1"/>
    <col min="7452" max="7452" width="7.875" style="187" customWidth="1"/>
    <col min="7453" max="7453" width="8.75" style="187" customWidth="1"/>
    <col min="7454" max="7686" width="9.125" style="187"/>
    <col min="7687" max="7687" width="5.375" style="187" customWidth="1"/>
    <col min="7688" max="7688" width="45.125" style="187" customWidth="1"/>
    <col min="7689" max="7690" width="12" style="187" customWidth="1"/>
    <col min="7691" max="7691" width="16.125" style="187" customWidth="1"/>
    <col min="7692" max="7692" width="7.75" style="187" customWidth="1"/>
    <col min="7693" max="7693" width="12" style="187" customWidth="1"/>
    <col min="7694" max="7695" width="9" style="187" customWidth="1"/>
    <col min="7696" max="7696" width="11.25" style="187" customWidth="1"/>
    <col min="7697" max="7698" width="12" style="187" customWidth="1"/>
    <col min="7699" max="7699" width="17.125" style="187" customWidth="1"/>
    <col min="7700" max="7700" width="9" style="187" customWidth="1"/>
    <col min="7701" max="7701" width="12" style="187" customWidth="1"/>
    <col min="7702" max="7703" width="9" style="187" customWidth="1"/>
    <col min="7704" max="7704" width="9.875" style="187" customWidth="1"/>
    <col min="7705" max="7705" width="10.125" style="187" customWidth="1"/>
    <col min="7706" max="7706" width="7.875" style="187" customWidth="1"/>
    <col min="7707" max="7707" width="8.625" style="187" customWidth="1"/>
    <col min="7708" max="7708" width="7.875" style="187" customWidth="1"/>
    <col min="7709" max="7709" width="8.75" style="187" customWidth="1"/>
    <col min="7710" max="7942" width="9.125" style="187"/>
    <col min="7943" max="7943" width="5.375" style="187" customWidth="1"/>
    <col min="7944" max="7944" width="45.125" style="187" customWidth="1"/>
    <col min="7945" max="7946" width="12" style="187" customWidth="1"/>
    <col min="7947" max="7947" width="16.125" style="187" customWidth="1"/>
    <col min="7948" max="7948" width="7.75" style="187" customWidth="1"/>
    <col min="7949" max="7949" width="12" style="187" customWidth="1"/>
    <col min="7950" max="7951" width="9" style="187" customWidth="1"/>
    <col min="7952" max="7952" width="11.25" style="187" customWidth="1"/>
    <col min="7953" max="7954" width="12" style="187" customWidth="1"/>
    <col min="7955" max="7955" width="17.125" style="187" customWidth="1"/>
    <col min="7956" max="7956" width="9" style="187" customWidth="1"/>
    <col min="7957" max="7957" width="12" style="187" customWidth="1"/>
    <col min="7958" max="7959" width="9" style="187" customWidth="1"/>
    <col min="7960" max="7960" width="9.875" style="187" customWidth="1"/>
    <col min="7961" max="7961" width="10.125" style="187" customWidth="1"/>
    <col min="7962" max="7962" width="7.875" style="187" customWidth="1"/>
    <col min="7963" max="7963" width="8.625" style="187" customWidth="1"/>
    <col min="7964" max="7964" width="7.875" style="187" customWidth="1"/>
    <col min="7965" max="7965" width="8.75" style="187" customWidth="1"/>
    <col min="7966" max="8198" width="9.125" style="187"/>
    <col min="8199" max="8199" width="5.375" style="187" customWidth="1"/>
    <col min="8200" max="8200" width="45.125" style="187" customWidth="1"/>
    <col min="8201" max="8202" width="12" style="187" customWidth="1"/>
    <col min="8203" max="8203" width="16.125" style="187" customWidth="1"/>
    <col min="8204" max="8204" width="7.75" style="187" customWidth="1"/>
    <col min="8205" max="8205" width="12" style="187" customWidth="1"/>
    <col min="8206" max="8207" width="9" style="187" customWidth="1"/>
    <col min="8208" max="8208" width="11.25" style="187" customWidth="1"/>
    <col min="8209" max="8210" width="12" style="187" customWidth="1"/>
    <col min="8211" max="8211" width="17.125" style="187" customWidth="1"/>
    <col min="8212" max="8212" width="9" style="187" customWidth="1"/>
    <col min="8213" max="8213" width="12" style="187" customWidth="1"/>
    <col min="8214" max="8215" width="9" style="187" customWidth="1"/>
    <col min="8216" max="8216" width="9.875" style="187" customWidth="1"/>
    <col min="8217" max="8217" width="10.125" style="187" customWidth="1"/>
    <col min="8218" max="8218" width="7.875" style="187" customWidth="1"/>
    <col min="8219" max="8219" width="8.625" style="187" customWidth="1"/>
    <col min="8220" max="8220" width="7.875" style="187" customWidth="1"/>
    <col min="8221" max="8221" width="8.75" style="187" customWidth="1"/>
    <col min="8222" max="8454" width="9.125" style="187"/>
    <col min="8455" max="8455" width="5.375" style="187" customWidth="1"/>
    <col min="8456" max="8456" width="45.125" style="187" customWidth="1"/>
    <col min="8457" max="8458" width="12" style="187" customWidth="1"/>
    <col min="8459" max="8459" width="16.125" style="187" customWidth="1"/>
    <col min="8460" max="8460" width="7.75" style="187" customWidth="1"/>
    <col min="8461" max="8461" width="12" style="187" customWidth="1"/>
    <col min="8462" max="8463" width="9" style="187" customWidth="1"/>
    <col min="8464" max="8464" width="11.25" style="187" customWidth="1"/>
    <col min="8465" max="8466" width="12" style="187" customWidth="1"/>
    <col min="8467" max="8467" width="17.125" style="187" customWidth="1"/>
    <col min="8468" max="8468" width="9" style="187" customWidth="1"/>
    <col min="8469" max="8469" width="12" style="187" customWidth="1"/>
    <col min="8470" max="8471" width="9" style="187" customWidth="1"/>
    <col min="8472" max="8472" width="9.875" style="187" customWidth="1"/>
    <col min="8473" max="8473" width="10.125" style="187" customWidth="1"/>
    <col min="8474" max="8474" width="7.875" style="187" customWidth="1"/>
    <col min="8475" max="8475" width="8.625" style="187" customWidth="1"/>
    <col min="8476" max="8476" width="7.875" style="187" customWidth="1"/>
    <col min="8477" max="8477" width="8.75" style="187" customWidth="1"/>
    <col min="8478" max="8710" width="9.125" style="187"/>
    <col min="8711" max="8711" width="5.375" style="187" customWidth="1"/>
    <col min="8712" max="8712" width="45.125" style="187" customWidth="1"/>
    <col min="8713" max="8714" width="12" style="187" customWidth="1"/>
    <col min="8715" max="8715" width="16.125" style="187" customWidth="1"/>
    <col min="8716" max="8716" width="7.75" style="187" customWidth="1"/>
    <col min="8717" max="8717" width="12" style="187" customWidth="1"/>
    <col min="8718" max="8719" width="9" style="187" customWidth="1"/>
    <col min="8720" max="8720" width="11.25" style="187" customWidth="1"/>
    <col min="8721" max="8722" width="12" style="187" customWidth="1"/>
    <col min="8723" max="8723" width="17.125" style="187" customWidth="1"/>
    <col min="8724" max="8724" width="9" style="187" customWidth="1"/>
    <col min="8725" max="8725" width="12" style="187" customWidth="1"/>
    <col min="8726" max="8727" width="9" style="187" customWidth="1"/>
    <col min="8728" max="8728" width="9.875" style="187" customWidth="1"/>
    <col min="8729" max="8729" width="10.125" style="187" customWidth="1"/>
    <col min="8730" max="8730" width="7.875" style="187" customWidth="1"/>
    <col min="8731" max="8731" width="8.625" style="187" customWidth="1"/>
    <col min="8732" max="8732" width="7.875" style="187" customWidth="1"/>
    <col min="8733" max="8733" width="8.75" style="187" customWidth="1"/>
    <col min="8734" max="8966" width="9.125" style="187"/>
    <col min="8967" max="8967" width="5.375" style="187" customWidth="1"/>
    <col min="8968" max="8968" width="45.125" style="187" customWidth="1"/>
    <col min="8969" max="8970" width="12" style="187" customWidth="1"/>
    <col min="8971" max="8971" width="16.125" style="187" customWidth="1"/>
    <col min="8972" max="8972" width="7.75" style="187" customWidth="1"/>
    <col min="8973" max="8973" width="12" style="187" customWidth="1"/>
    <col min="8974" max="8975" width="9" style="187" customWidth="1"/>
    <col min="8976" max="8976" width="11.25" style="187" customWidth="1"/>
    <col min="8977" max="8978" width="12" style="187" customWidth="1"/>
    <col min="8979" max="8979" width="17.125" style="187" customWidth="1"/>
    <col min="8980" max="8980" width="9" style="187" customWidth="1"/>
    <col min="8981" max="8981" width="12" style="187" customWidth="1"/>
    <col min="8982" max="8983" width="9" style="187" customWidth="1"/>
    <col min="8984" max="8984" width="9.875" style="187" customWidth="1"/>
    <col min="8985" max="8985" width="10.125" style="187" customWidth="1"/>
    <col min="8986" max="8986" width="7.875" style="187" customWidth="1"/>
    <col min="8987" max="8987" width="8.625" style="187" customWidth="1"/>
    <col min="8988" max="8988" width="7.875" style="187" customWidth="1"/>
    <col min="8989" max="8989" width="8.75" style="187" customWidth="1"/>
    <col min="8990" max="9222" width="9.125" style="187"/>
    <col min="9223" max="9223" width="5.375" style="187" customWidth="1"/>
    <col min="9224" max="9224" width="45.125" style="187" customWidth="1"/>
    <col min="9225" max="9226" width="12" style="187" customWidth="1"/>
    <col min="9227" max="9227" width="16.125" style="187" customWidth="1"/>
    <col min="9228" max="9228" width="7.75" style="187" customWidth="1"/>
    <col min="9229" max="9229" width="12" style="187" customWidth="1"/>
    <col min="9230" max="9231" width="9" style="187" customWidth="1"/>
    <col min="9232" max="9232" width="11.25" style="187" customWidth="1"/>
    <col min="9233" max="9234" width="12" style="187" customWidth="1"/>
    <col min="9235" max="9235" width="17.125" style="187" customWidth="1"/>
    <col min="9236" max="9236" width="9" style="187" customWidth="1"/>
    <col min="9237" max="9237" width="12" style="187" customWidth="1"/>
    <col min="9238" max="9239" width="9" style="187" customWidth="1"/>
    <col min="9240" max="9240" width="9.875" style="187" customWidth="1"/>
    <col min="9241" max="9241" width="10.125" style="187" customWidth="1"/>
    <col min="9242" max="9242" width="7.875" style="187" customWidth="1"/>
    <col min="9243" max="9243" width="8.625" style="187" customWidth="1"/>
    <col min="9244" max="9244" width="7.875" style="187" customWidth="1"/>
    <col min="9245" max="9245" width="8.75" style="187" customWidth="1"/>
    <col min="9246" max="9478" width="9.125" style="187"/>
    <col min="9479" max="9479" width="5.375" style="187" customWidth="1"/>
    <col min="9480" max="9480" width="45.125" style="187" customWidth="1"/>
    <col min="9481" max="9482" width="12" style="187" customWidth="1"/>
    <col min="9483" max="9483" width="16.125" style="187" customWidth="1"/>
    <col min="9484" max="9484" width="7.75" style="187" customWidth="1"/>
    <col min="9485" max="9485" width="12" style="187" customWidth="1"/>
    <col min="9486" max="9487" width="9" style="187" customWidth="1"/>
    <col min="9488" max="9488" width="11.25" style="187" customWidth="1"/>
    <col min="9489" max="9490" width="12" style="187" customWidth="1"/>
    <col min="9491" max="9491" width="17.125" style="187" customWidth="1"/>
    <col min="9492" max="9492" width="9" style="187" customWidth="1"/>
    <col min="9493" max="9493" width="12" style="187" customWidth="1"/>
    <col min="9494" max="9495" width="9" style="187" customWidth="1"/>
    <col min="9496" max="9496" width="9.875" style="187" customWidth="1"/>
    <col min="9497" max="9497" width="10.125" style="187" customWidth="1"/>
    <col min="9498" max="9498" width="7.875" style="187" customWidth="1"/>
    <col min="9499" max="9499" width="8.625" style="187" customWidth="1"/>
    <col min="9500" max="9500" width="7.875" style="187" customWidth="1"/>
    <col min="9501" max="9501" width="8.75" style="187" customWidth="1"/>
    <col min="9502" max="9734" width="9.125" style="187"/>
    <col min="9735" max="9735" width="5.375" style="187" customWidth="1"/>
    <col min="9736" max="9736" width="45.125" style="187" customWidth="1"/>
    <col min="9737" max="9738" width="12" style="187" customWidth="1"/>
    <col min="9739" max="9739" width="16.125" style="187" customWidth="1"/>
    <col min="9740" max="9740" width="7.75" style="187" customWidth="1"/>
    <col min="9741" max="9741" width="12" style="187" customWidth="1"/>
    <col min="9742" max="9743" width="9" style="187" customWidth="1"/>
    <col min="9744" max="9744" width="11.25" style="187" customWidth="1"/>
    <col min="9745" max="9746" width="12" style="187" customWidth="1"/>
    <col min="9747" max="9747" width="17.125" style="187" customWidth="1"/>
    <col min="9748" max="9748" width="9" style="187" customWidth="1"/>
    <col min="9749" max="9749" width="12" style="187" customWidth="1"/>
    <col min="9750" max="9751" width="9" style="187" customWidth="1"/>
    <col min="9752" max="9752" width="9.875" style="187" customWidth="1"/>
    <col min="9753" max="9753" width="10.125" style="187" customWidth="1"/>
    <col min="9754" max="9754" width="7.875" style="187" customWidth="1"/>
    <col min="9755" max="9755" width="8.625" style="187" customWidth="1"/>
    <col min="9756" max="9756" width="7.875" style="187" customWidth="1"/>
    <col min="9757" max="9757" width="8.75" style="187" customWidth="1"/>
    <col min="9758" max="9990" width="9.125" style="187"/>
    <col min="9991" max="9991" width="5.375" style="187" customWidth="1"/>
    <col min="9992" max="9992" width="45.125" style="187" customWidth="1"/>
    <col min="9993" max="9994" width="12" style="187" customWidth="1"/>
    <col min="9995" max="9995" width="16.125" style="187" customWidth="1"/>
    <col min="9996" max="9996" width="7.75" style="187" customWidth="1"/>
    <col min="9997" max="9997" width="12" style="187" customWidth="1"/>
    <col min="9998" max="9999" width="9" style="187" customWidth="1"/>
    <col min="10000" max="10000" width="11.25" style="187" customWidth="1"/>
    <col min="10001" max="10002" width="12" style="187" customWidth="1"/>
    <col min="10003" max="10003" width="17.125" style="187" customWidth="1"/>
    <col min="10004" max="10004" width="9" style="187" customWidth="1"/>
    <col min="10005" max="10005" width="12" style="187" customWidth="1"/>
    <col min="10006" max="10007" width="9" style="187" customWidth="1"/>
    <col min="10008" max="10008" width="9.875" style="187" customWidth="1"/>
    <col min="10009" max="10009" width="10.125" style="187" customWidth="1"/>
    <col min="10010" max="10010" width="7.875" style="187" customWidth="1"/>
    <col min="10011" max="10011" width="8.625" style="187" customWidth="1"/>
    <col min="10012" max="10012" width="7.875" style="187" customWidth="1"/>
    <col min="10013" max="10013" width="8.75" style="187" customWidth="1"/>
    <col min="10014" max="10246" width="9.125" style="187"/>
    <col min="10247" max="10247" width="5.375" style="187" customWidth="1"/>
    <col min="10248" max="10248" width="45.125" style="187" customWidth="1"/>
    <col min="10249" max="10250" width="12" style="187" customWidth="1"/>
    <col min="10251" max="10251" width="16.125" style="187" customWidth="1"/>
    <col min="10252" max="10252" width="7.75" style="187" customWidth="1"/>
    <col min="10253" max="10253" width="12" style="187" customWidth="1"/>
    <col min="10254" max="10255" width="9" style="187" customWidth="1"/>
    <col min="10256" max="10256" width="11.25" style="187" customWidth="1"/>
    <col min="10257" max="10258" width="12" style="187" customWidth="1"/>
    <col min="10259" max="10259" width="17.125" style="187" customWidth="1"/>
    <col min="10260" max="10260" width="9" style="187" customWidth="1"/>
    <col min="10261" max="10261" width="12" style="187" customWidth="1"/>
    <col min="10262" max="10263" width="9" style="187" customWidth="1"/>
    <col min="10264" max="10264" width="9.875" style="187" customWidth="1"/>
    <col min="10265" max="10265" width="10.125" style="187" customWidth="1"/>
    <col min="10266" max="10266" width="7.875" style="187" customWidth="1"/>
    <col min="10267" max="10267" width="8.625" style="187" customWidth="1"/>
    <col min="10268" max="10268" width="7.875" style="187" customWidth="1"/>
    <col min="10269" max="10269" width="8.75" style="187" customWidth="1"/>
    <col min="10270" max="10502" width="9.125" style="187"/>
    <col min="10503" max="10503" width="5.375" style="187" customWidth="1"/>
    <col min="10504" max="10504" width="45.125" style="187" customWidth="1"/>
    <col min="10505" max="10506" width="12" style="187" customWidth="1"/>
    <col min="10507" max="10507" width="16.125" style="187" customWidth="1"/>
    <col min="10508" max="10508" width="7.75" style="187" customWidth="1"/>
    <col min="10509" max="10509" width="12" style="187" customWidth="1"/>
    <col min="10510" max="10511" width="9" style="187" customWidth="1"/>
    <col min="10512" max="10512" width="11.25" style="187" customWidth="1"/>
    <col min="10513" max="10514" width="12" style="187" customWidth="1"/>
    <col min="10515" max="10515" width="17.125" style="187" customWidth="1"/>
    <col min="10516" max="10516" width="9" style="187" customWidth="1"/>
    <col min="10517" max="10517" width="12" style="187" customWidth="1"/>
    <col min="10518" max="10519" width="9" style="187" customWidth="1"/>
    <col min="10520" max="10520" width="9.875" style="187" customWidth="1"/>
    <col min="10521" max="10521" width="10.125" style="187" customWidth="1"/>
    <col min="10522" max="10522" width="7.875" style="187" customWidth="1"/>
    <col min="10523" max="10523" width="8.625" style="187" customWidth="1"/>
    <col min="10524" max="10524" width="7.875" style="187" customWidth="1"/>
    <col min="10525" max="10525" width="8.75" style="187" customWidth="1"/>
    <col min="10526" max="10758" width="9.125" style="187"/>
    <col min="10759" max="10759" width="5.375" style="187" customWidth="1"/>
    <col min="10760" max="10760" width="45.125" style="187" customWidth="1"/>
    <col min="10761" max="10762" width="12" style="187" customWidth="1"/>
    <col min="10763" max="10763" width="16.125" style="187" customWidth="1"/>
    <col min="10764" max="10764" width="7.75" style="187" customWidth="1"/>
    <col min="10765" max="10765" width="12" style="187" customWidth="1"/>
    <col min="10766" max="10767" width="9" style="187" customWidth="1"/>
    <col min="10768" max="10768" width="11.25" style="187" customWidth="1"/>
    <col min="10769" max="10770" width="12" style="187" customWidth="1"/>
    <col min="10771" max="10771" width="17.125" style="187" customWidth="1"/>
    <col min="10772" max="10772" width="9" style="187" customWidth="1"/>
    <col min="10773" max="10773" width="12" style="187" customWidth="1"/>
    <col min="10774" max="10775" width="9" style="187" customWidth="1"/>
    <col min="10776" max="10776" width="9.875" style="187" customWidth="1"/>
    <col min="10777" max="10777" width="10.125" style="187" customWidth="1"/>
    <col min="10778" max="10778" width="7.875" style="187" customWidth="1"/>
    <col min="10779" max="10779" width="8.625" style="187" customWidth="1"/>
    <col min="10780" max="10780" width="7.875" style="187" customWidth="1"/>
    <col min="10781" max="10781" width="8.75" style="187" customWidth="1"/>
    <col min="10782" max="11014" width="9.125" style="187"/>
    <col min="11015" max="11015" width="5.375" style="187" customWidth="1"/>
    <col min="11016" max="11016" width="45.125" style="187" customWidth="1"/>
    <col min="11017" max="11018" width="12" style="187" customWidth="1"/>
    <col min="11019" max="11019" width="16.125" style="187" customWidth="1"/>
    <col min="11020" max="11020" width="7.75" style="187" customWidth="1"/>
    <col min="11021" max="11021" width="12" style="187" customWidth="1"/>
    <col min="11022" max="11023" width="9" style="187" customWidth="1"/>
    <col min="11024" max="11024" width="11.25" style="187" customWidth="1"/>
    <col min="11025" max="11026" width="12" style="187" customWidth="1"/>
    <col min="11027" max="11027" width="17.125" style="187" customWidth="1"/>
    <col min="11028" max="11028" width="9" style="187" customWidth="1"/>
    <col min="11029" max="11029" width="12" style="187" customWidth="1"/>
    <col min="11030" max="11031" width="9" style="187" customWidth="1"/>
    <col min="11032" max="11032" width="9.875" style="187" customWidth="1"/>
    <col min="11033" max="11033" width="10.125" style="187" customWidth="1"/>
    <col min="11034" max="11034" width="7.875" style="187" customWidth="1"/>
    <col min="11035" max="11035" width="8.625" style="187" customWidth="1"/>
    <col min="11036" max="11036" width="7.875" style="187" customWidth="1"/>
    <col min="11037" max="11037" width="8.75" style="187" customWidth="1"/>
    <col min="11038" max="11270" width="9.125" style="187"/>
    <col min="11271" max="11271" width="5.375" style="187" customWidth="1"/>
    <col min="11272" max="11272" width="45.125" style="187" customWidth="1"/>
    <col min="11273" max="11274" width="12" style="187" customWidth="1"/>
    <col min="11275" max="11275" width="16.125" style="187" customWidth="1"/>
    <col min="11276" max="11276" width="7.75" style="187" customWidth="1"/>
    <col min="11277" max="11277" width="12" style="187" customWidth="1"/>
    <col min="11278" max="11279" width="9" style="187" customWidth="1"/>
    <col min="11280" max="11280" width="11.25" style="187" customWidth="1"/>
    <col min="11281" max="11282" width="12" style="187" customWidth="1"/>
    <col min="11283" max="11283" width="17.125" style="187" customWidth="1"/>
    <col min="11284" max="11284" width="9" style="187" customWidth="1"/>
    <col min="11285" max="11285" width="12" style="187" customWidth="1"/>
    <col min="11286" max="11287" width="9" style="187" customWidth="1"/>
    <col min="11288" max="11288" width="9.875" style="187" customWidth="1"/>
    <col min="11289" max="11289" width="10.125" style="187" customWidth="1"/>
    <col min="11290" max="11290" width="7.875" style="187" customWidth="1"/>
    <col min="11291" max="11291" width="8.625" style="187" customWidth="1"/>
    <col min="11292" max="11292" width="7.875" style="187" customWidth="1"/>
    <col min="11293" max="11293" width="8.75" style="187" customWidth="1"/>
    <col min="11294" max="11526" width="9.125" style="187"/>
    <col min="11527" max="11527" width="5.375" style="187" customWidth="1"/>
    <col min="11528" max="11528" width="45.125" style="187" customWidth="1"/>
    <col min="11529" max="11530" width="12" style="187" customWidth="1"/>
    <col min="11531" max="11531" width="16.125" style="187" customWidth="1"/>
    <col min="11532" max="11532" width="7.75" style="187" customWidth="1"/>
    <col min="11533" max="11533" width="12" style="187" customWidth="1"/>
    <col min="11534" max="11535" width="9" style="187" customWidth="1"/>
    <col min="11536" max="11536" width="11.25" style="187" customWidth="1"/>
    <col min="11537" max="11538" width="12" style="187" customWidth="1"/>
    <col min="11539" max="11539" width="17.125" style="187" customWidth="1"/>
    <col min="11540" max="11540" width="9" style="187" customWidth="1"/>
    <col min="11541" max="11541" width="12" style="187" customWidth="1"/>
    <col min="11542" max="11543" width="9" style="187" customWidth="1"/>
    <col min="11544" max="11544" width="9.875" style="187" customWidth="1"/>
    <col min="11545" max="11545" width="10.125" style="187" customWidth="1"/>
    <col min="11546" max="11546" width="7.875" style="187" customWidth="1"/>
    <col min="11547" max="11547" width="8.625" style="187" customWidth="1"/>
    <col min="11548" max="11548" width="7.875" style="187" customWidth="1"/>
    <col min="11549" max="11549" width="8.75" style="187" customWidth="1"/>
    <col min="11550" max="11782" width="9.125" style="187"/>
    <col min="11783" max="11783" width="5.375" style="187" customWidth="1"/>
    <col min="11784" max="11784" width="45.125" style="187" customWidth="1"/>
    <col min="11785" max="11786" width="12" style="187" customWidth="1"/>
    <col min="11787" max="11787" width="16.125" style="187" customWidth="1"/>
    <col min="11788" max="11788" width="7.75" style="187" customWidth="1"/>
    <col min="11789" max="11789" width="12" style="187" customWidth="1"/>
    <col min="11790" max="11791" width="9" style="187" customWidth="1"/>
    <col min="11792" max="11792" width="11.25" style="187" customWidth="1"/>
    <col min="11793" max="11794" width="12" style="187" customWidth="1"/>
    <col min="11795" max="11795" width="17.125" style="187" customWidth="1"/>
    <col min="11796" max="11796" width="9" style="187" customWidth="1"/>
    <col min="11797" max="11797" width="12" style="187" customWidth="1"/>
    <col min="11798" max="11799" width="9" style="187" customWidth="1"/>
    <col min="11800" max="11800" width="9.875" style="187" customWidth="1"/>
    <col min="11801" max="11801" width="10.125" style="187" customWidth="1"/>
    <col min="11802" max="11802" width="7.875" style="187" customWidth="1"/>
    <col min="11803" max="11803" width="8.625" style="187" customWidth="1"/>
    <col min="11804" max="11804" width="7.875" style="187" customWidth="1"/>
    <col min="11805" max="11805" width="8.75" style="187" customWidth="1"/>
    <col min="11806" max="12038" width="9.125" style="187"/>
    <col min="12039" max="12039" width="5.375" style="187" customWidth="1"/>
    <col min="12040" max="12040" width="45.125" style="187" customWidth="1"/>
    <col min="12041" max="12042" width="12" style="187" customWidth="1"/>
    <col min="12043" max="12043" width="16.125" style="187" customWidth="1"/>
    <col min="12044" max="12044" width="7.75" style="187" customWidth="1"/>
    <col min="12045" max="12045" width="12" style="187" customWidth="1"/>
    <col min="12046" max="12047" width="9" style="187" customWidth="1"/>
    <col min="12048" max="12048" width="11.25" style="187" customWidth="1"/>
    <col min="12049" max="12050" width="12" style="187" customWidth="1"/>
    <col min="12051" max="12051" width="17.125" style="187" customWidth="1"/>
    <col min="12052" max="12052" width="9" style="187" customWidth="1"/>
    <col min="12053" max="12053" width="12" style="187" customWidth="1"/>
    <col min="12054" max="12055" width="9" style="187" customWidth="1"/>
    <col min="12056" max="12056" width="9.875" style="187" customWidth="1"/>
    <col min="12057" max="12057" width="10.125" style="187" customWidth="1"/>
    <col min="12058" max="12058" width="7.875" style="187" customWidth="1"/>
    <col min="12059" max="12059" width="8.625" style="187" customWidth="1"/>
    <col min="12060" max="12060" width="7.875" style="187" customWidth="1"/>
    <col min="12061" max="12061" width="8.75" style="187" customWidth="1"/>
    <col min="12062" max="12294" width="9.125" style="187"/>
    <col min="12295" max="12295" width="5.375" style="187" customWidth="1"/>
    <col min="12296" max="12296" width="45.125" style="187" customWidth="1"/>
    <col min="12297" max="12298" width="12" style="187" customWidth="1"/>
    <col min="12299" max="12299" width="16.125" style="187" customWidth="1"/>
    <col min="12300" max="12300" width="7.75" style="187" customWidth="1"/>
    <col min="12301" max="12301" width="12" style="187" customWidth="1"/>
    <col min="12302" max="12303" width="9" style="187" customWidth="1"/>
    <col min="12304" max="12304" width="11.25" style="187" customWidth="1"/>
    <col min="12305" max="12306" width="12" style="187" customWidth="1"/>
    <col min="12307" max="12307" width="17.125" style="187" customWidth="1"/>
    <col min="12308" max="12308" width="9" style="187" customWidth="1"/>
    <col min="12309" max="12309" width="12" style="187" customWidth="1"/>
    <col min="12310" max="12311" width="9" style="187" customWidth="1"/>
    <col min="12312" max="12312" width="9.875" style="187" customWidth="1"/>
    <col min="12313" max="12313" width="10.125" style="187" customWidth="1"/>
    <col min="12314" max="12314" width="7.875" style="187" customWidth="1"/>
    <col min="12315" max="12315" width="8.625" style="187" customWidth="1"/>
    <col min="12316" max="12316" width="7.875" style="187" customWidth="1"/>
    <col min="12317" max="12317" width="8.75" style="187" customWidth="1"/>
    <col min="12318" max="12550" width="9.125" style="187"/>
    <col min="12551" max="12551" width="5.375" style="187" customWidth="1"/>
    <col min="12552" max="12552" width="45.125" style="187" customWidth="1"/>
    <col min="12553" max="12554" width="12" style="187" customWidth="1"/>
    <col min="12555" max="12555" width="16.125" style="187" customWidth="1"/>
    <col min="12556" max="12556" width="7.75" style="187" customWidth="1"/>
    <col min="12557" max="12557" width="12" style="187" customWidth="1"/>
    <col min="12558" max="12559" width="9" style="187" customWidth="1"/>
    <col min="12560" max="12560" width="11.25" style="187" customWidth="1"/>
    <col min="12561" max="12562" width="12" style="187" customWidth="1"/>
    <col min="12563" max="12563" width="17.125" style="187" customWidth="1"/>
    <col min="12564" max="12564" width="9" style="187" customWidth="1"/>
    <col min="12565" max="12565" width="12" style="187" customWidth="1"/>
    <col min="12566" max="12567" width="9" style="187" customWidth="1"/>
    <col min="12568" max="12568" width="9.875" style="187" customWidth="1"/>
    <col min="12569" max="12569" width="10.125" style="187" customWidth="1"/>
    <col min="12570" max="12570" width="7.875" style="187" customWidth="1"/>
    <col min="12571" max="12571" width="8.625" style="187" customWidth="1"/>
    <col min="12572" max="12572" width="7.875" style="187" customWidth="1"/>
    <col min="12573" max="12573" width="8.75" style="187" customWidth="1"/>
    <col min="12574" max="12806" width="9.125" style="187"/>
    <col min="12807" max="12807" width="5.375" style="187" customWidth="1"/>
    <col min="12808" max="12808" width="45.125" style="187" customWidth="1"/>
    <col min="12809" max="12810" width="12" style="187" customWidth="1"/>
    <col min="12811" max="12811" width="16.125" style="187" customWidth="1"/>
    <col min="12812" max="12812" width="7.75" style="187" customWidth="1"/>
    <col min="12813" max="12813" width="12" style="187" customWidth="1"/>
    <col min="12814" max="12815" width="9" style="187" customWidth="1"/>
    <col min="12816" max="12816" width="11.25" style="187" customWidth="1"/>
    <col min="12817" max="12818" width="12" style="187" customWidth="1"/>
    <col min="12819" max="12819" width="17.125" style="187" customWidth="1"/>
    <col min="12820" max="12820" width="9" style="187" customWidth="1"/>
    <col min="12821" max="12821" width="12" style="187" customWidth="1"/>
    <col min="12822" max="12823" width="9" style="187" customWidth="1"/>
    <col min="12824" max="12824" width="9.875" style="187" customWidth="1"/>
    <col min="12825" max="12825" width="10.125" style="187" customWidth="1"/>
    <col min="12826" max="12826" width="7.875" style="187" customWidth="1"/>
    <col min="12827" max="12827" width="8.625" style="187" customWidth="1"/>
    <col min="12828" max="12828" width="7.875" style="187" customWidth="1"/>
    <col min="12829" max="12829" width="8.75" style="187" customWidth="1"/>
    <col min="12830" max="13062" width="9.125" style="187"/>
    <col min="13063" max="13063" width="5.375" style="187" customWidth="1"/>
    <col min="13064" max="13064" width="45.125" style="187" customWidth="1"/>
    <col min="13065" max="13066" width="12" style="187" customWidth="1"/>
    <col min="13067" max="13067" width="16.125" style="187" customWidth="1"/>
    <col min="13068" max="13068" width="7.75" style="187" customWidth="1"/>
    <col min="13069" max="13069" width="12" style="187" customWidth="1"/>
    <col min="13070" max="13071" width="9" style="187" customWidth="1"/>
    <col min="13072" max="13072" width="11.25" style="187" customWidth="1"/>
    <col min="13073" max="13074" width="12" style="187" customWidth="1"/>
    <col min="13075" max="13075" width="17.125" style="187" customWidth="1"/>
    <col min="13076" max="13076" width="9" style="187" customWidth="1"/>
    <col min="13077" max="13077" width="12" style="187" customWidth="1"/>
    <col min="13078" max="13079" width="9" style="187" customWidth="1"/>
    <col min="13080" max="13080" width="9.875" style="187" customWidth="1"/>
    <col min="13081" max="13081" width="10.125" style="187" customWidth="1"/>
    <col min="13082" max="13082" width="7.875" style="187" customWidth="1"/>
    <col min="13083" max="13083" width="8.625" style="187" customWidth="1"/>
    <col min="13084" max="13084" width="7.875" style="187" customWidth="1"/>
    <col min="13085" max="13085" width="8.75" style="187" customWidth="1"/>
    <col min="13086" max="13318" width="9.125" style="187"/>
    <col min="13319" max="13319" width="5.375" style="187" customWidth="1"/>
    <col min="13320" max="13320" width="45.125" style="187" customWidth="1"/>
    <col min="13321" max="13322" width="12" style="187" customWidth="1"/>
    <col min="13323" max="13323" width="16.125" style="187" customWidth="1"/>
    <col min="13324" max="13324" width="7.75" style="187" customWidth="1"/>
    <col min="13325" max="13325" width="12" style="187" customWidth="1"/>
    <col min="13326" max="13327" width="9" style="187" customWidth="1"/>
    <col min="13328" max="13328" width="11.25" style="187" customWidth="1"/>
    <col min="13329" max="13330" width="12" style="187" customWidth="1"/>
    <col min="13331" max="13331" width="17.125" style="187" customWidth="1"/>
    <col min="13332" max="13332" width="9" style="187" customWidth="1"/>
    <col min="13333" max="13333" width="12" style="187" customWidth="1"/>
    <col min="13334" max="13335" width="9" style="187" customWidth="1"/>
    <col min="13336" max="13336" width="9.875" style="187" customWidth="1"/>
    <col min="13337" max="13337" width="10.125" style="187" customWidth="1"/>
    <col min="13338" max="13338" width="7.875" style="187" customWidth="1"/>
    <col min="13339" max="13339" width="8.625" style="187" customWidth="1"/>
    <col min="13340" max="13340" width="7.875" style="187" customWidth="1"/>
    <col min="13341" max="13341" width="8.75" style="187" customWidth="1"/>
    <col min="13342" max="13574" width="9.125" style="187"/>
    <col min="13575" max="13575" width="5.375" style="187" customWidth="1"/>
    <col min="13576" max="13576" width="45.125" style="187" customWidth="1"/>
    <col min="13577" max="13578" width="12" style="187" customWidth="1"/>
    <col min="13579" max="13579" width="16.125" style="187" customWidth="1"/>
    <col min="13580" max="13580" width="7.75" style="187" customWidth="1"/>
    <col min="13581" max="13581" width="12" style="187" customWidth="1"/>
    <col min="13582" max="13583" width="9" style="187" customWidth="1"/>
    <col min="13584" max="13584" width="11.25" style="187" customWidth="1"/>
    <col min="13585" max="13586" width="12" style="187" customWidth="1"/>
    <col min="13587" max="13587" width="17.125" style="187" customWidth="1"/>
    <col min="13588" max="13588" width="9" style="187" customWidth="1"/>
    <col min="13589" max="13589" width="12" style="187" customWidth="1"/>
    <col min="13590" max="13591" width="9" style="187" customWidth="1"/>
    <col min="13592" max="13592" width="9.875" style="187" customWidth="1"/>
    <col min="13593" max="13593" width="10.125" style="187" customWidth="1"/>
    <col min="13594" max="13594" width="7.875" style="187" customWidth="1"/>
    <col min="13595" max="13595" width="8.625" style="187" customWidth="1"/>
    <col min="13596" max="13596" width="7.875" style="187" customWidth="1"/>
    <col min="13597" max="13597" width="8.75" style="187" customWidth="1"/>
    <col min="13598" max="13830" width="9.125" style="187"/>
    <col min="13831" max="13831" width="5.375" style="187" customWidth="1"/>
    <col min="13832" max="13832" width="45.125" style="187" customWidth="1"/>
    <col min="13833" max="13834" width="12" style="187" customWidth="1"/>
    <col min="13835" max="13835" width="16.125" style="187" customWidth="1"/>
    <col min="13836" max="13836" width="7.75" style="187" customWidth="1"/>
    <col min="13837" max="13837" width="12" style="187" customWidth="1"/>
    <col min="13838" max="13839" width="9" style="187" customWidth="1"/>
    <col min="13840" max="13840" width="11.25" style="187" customWidth="1"/>
    <col min="13841" max="13842" width="12" style="187" customWidth="1"/>
    <col min="13843" max="13843" width="17.125" style="187" customWidth="1"/>
    <col min="13844" max="13844" width="9" style="187" customWidth="1"/>
    <col min="13845" max="13845" width="12" style="187" customWidth="1"/>
    <col min="13846" max="13847" width="9" style="187" customWidth="1"/>
    <col min="13848" max="13848" width="9.875" style="187" customWidth="1"/>
    <col min="13849" max="13849" width="10.125" style="187" customWidth="1"/>
    <col min="13850" max="13850" width="7.875" style="187" customWidth="1"/>
    <col min="13851" max="13851" width="8.625" style="187" customWidth="1"/>
    <col min="13852" max="13852" width="7.875" style="187" customWidth="1"/>
    <col min="13853" max="13853" width="8.75" style="187" customWidth="1"/>
    <col min="13854" max="14086" width="9.125" style="187"/>
    <col min="14087" max="14087" width="5.375" style="187" customWidth="1"/>
    <col min="14088" max="14088" width="45.125" style="187" customWidth="1"/>
    <col min="14089" max="14090" width="12" style="187" customWidth="1"/>
    <col min="14091" max="14091" width="16.125" style="187" customWidth="1"/>
    <col min="14092" max="14092" width="7.75" style="187" customWidth="1"/>
    <col min="14093" max="14093" width="12" style="187" customWidth="1"/>
    <col min="14094" max="14095" width="9" style="187" customWidth="1"/>
    <col min="14096" max="14096" width="11.25" style="187" customWidth="1"/>
    <col min="14097" max="14098" width="12" style="187" customWidth="1"/>
    <col min="14099" max="14099" width="17.125" style="187" customWidth="1"/>
    <col min="14100" max="14100" width="9" style="187" customWidth="1"/>
    <col min="14101" max="14101" width="12" style="187" customWidth="1"/>
    <col min="14102" max="14103" width="9" style="187" customWidth="1"/>
    <col min="14104" max="14104" width="9.875" style="187" customWidth="1"/>
    <col min="14105" max="14105" width="10.125" style="187" customWidth="1"/>
    <col min="14106" max="14106" width="7.875" style="187" customWidth="1"/>
    <col min="14107" max="14107" width="8.625" style="187" customWidth="1"/>
    <col min="14108" max="14108" width="7.875" style="187" customWidth="1"/>
    <col min="14109" max="14109" width="8.75" style="187" customWidth="1"/>
    <col min="14110" max="14342" width="9.125" style="187"/>
    <col min="14343" max="14343" width="5.375" style="187" customWidth="1"/>
    <col min="14344" max="14344" width="45.125" style="187" customWidth="1"/>
    <col min="14345" max="14346" width="12" style="187" customWidth="1"/>
    <col min="14347" max="14347" width="16.125" style="187" customWidth="1"/>
    <col min="14348" max="14348" width="7.75" style="187" customWidth="1"/>
    <col min="14349" max="14349" width="12" style="187" customWidth="1"/>
    <col min="14350" max="14351" width="9" style="187" customWidth="1"/>
    <col min="14352" max="14352" width="11.25" style="187" customWidth="1"/>
    <col min="14353" max="14354" width="12" style="187" customWidth="1"/>
    <col min="14355" max="14355" width="17.125" style="187" customWidth="1"/>
    <col min="14356" max="14356" width="9" style="187" customWidth="1"/>
    <col min="14357" max="14357" width="12" style="187" customWidth="1"/>
    <col min="14358" max="14359" width="9" style="187" customWidth="1"/>
    <col min="14360" max="14360" width="9.875" style="187" customWidth="1"/>
    <col min="14361" max="14361" width="10.125" style="187" customWidth="1"/>
    <col min="14362" max="14362" width="7.875" style="187" customWidth="1"/>
    <col min="14363" max="14363" width="8.625" style="187" customWidth="1"/>
    <col min="14364" max="14364" width="7.875" style="187" customWidth="1"/>
    <col min="14365" max="14365" width="8.75" style="187" customWidth="1"/>
    <col min="14366" max="14598" width="9.125" style="187"/>
    <col min="14599" max="14599" width="5.375" style="187" customWidth="1"/>
    <col min="14600" max="14600" width="45.125" style="187" customWidth="1"/>
    <col min="14601" max="14602" width="12" style="187" customWidth="1"/>
    <col min="14603" max="14603" width="16.125" style="187" customWidth="1"/>
    <col min="14604" max="14604" width="7.75" style="187" customWidth="1"/>
    <col min="14605" max="14605" width="12" style="187" customWidth="1"/>
    <col min="14606" max="14607" width="9" style="187" customWidth="1"/>
    <col min="14608" max="14608" width="11.25" style="187" customWidth="1"/>
    <col min="14609" max="14610" width="12" style="187" customWidth="1"/>
    <col min="14611" max="14611" width="17.125" style="187" customWidth="1"/>
    <col min="14612" max="14612" width="9" style="187" customWidth="1"/>
    <col min="14613" max="14613" width="12" style="187" customWidth="1"/>
    <col min="14614" max="14615" width="9" style="187" customWidth="1"/>
    <col min="14616" max="14616" width="9.875" style="187" customWidth="1"/>
    <col min="14617" max="14617" width="10.125" style="187" customWidth="1"/>
    <col min="14618" max="14618" width="7.875" style="187" customWidth="1"/>
    <col min="14619" max="14619" width="8.625" style="187" customWidth="1"/>
    <col min="14620" max="14620" width="7.875" style="187" customWidth="1"/>
    <col min="14621" max="14621" width="8.75" style="187" customWidth="1"/>
    <col min="14622" max="14854" width="9.125" style="187"/>
    <col min="14855" max="14855" width="5.375" style="187" customWidth="1"/>
    <col min="14856" max="14856" width="45.125" style="187" customWidth="1"/>
    <col min="14857" max="14858" width="12" style="187" customWidth="1"/>
    <col min="14859" max="14859" width="16.125" style="187" customWidth="1"/>
    <col min="14860" max="14860" width="7.75" style="187" customWidth="1"/>
    <col min="14861" max="14861" width="12" style="187" customWidth="1"/>
    <col min="14862" max="14863" width="9" style="187" customWidth="1"/>
    <col min="14864" max="14864" width="11.25" style="187" customWidth="1"/>
    <col min="14865" max="14866" width="12" style="187" customWidth="1"/>
    <col min="14867" max="14867" width="17.125" style="187" customWidth="1"/>
    <col min="14868" max="14868" width="9" style="187" customWidth="1"/>
    <col min="14869" max="14869" width="12" style="187" customWidth="1"/>
    <col min="14870" max="14871" width="9" style="187" customWidth="1"/>
    <col min="14872" max="14872" width="9.875" style="187" customWidth="1"/>
    <col min="14873" max="14873" width="10.125" style="187" customWidth="1"/>
    <col min="14874" max="14874" width="7.875" style="187" customWidth="1"/>
    <col min="14875" max="14875" width="8.625" style="187" customWidth="1"/>
    <col min="14876" max="14876" width="7.875" style="187" customWidth="1"/>
    <col min="14877" max="14877" width="8.75" style="187" customWidth="1"/>
    <col min="14878" max="15110" width="9.125" style="187"/>
    <col min="15111" max="15111" width="5.375" style="187" customWidth="1"/>
    <col min="15112" max="15112" width="45.125" style="187" customWidth="1"/>
    <col min="15113" max="15114" width="12" style="187" customWidth="1"/>
    <col min="15115" max="15115" width="16.125" style="187" customWidth="1"/>
    <col min="15116" max="15116" width="7.75" style="187" customWidth="1"/>
    <col min="15117" max="15117" width="12" style="187" customWidth="1"/>
    <col min="15118" max="15119" width="9" style="187" customWidth="1"/>
    <col min="15120" max="15120" width="11.25" style="187" customWidth="1"/>
    <col min="15121" max="15122" width="12" style="187" customWidth="1"/>
    <col min="15123" max="15123" width="17.125" style="187" customWidth="1"/>
    <col min="15124" max="15124" width="9" style="187" customWidth="1"/>
    <col min="15125" max="15125" width="12" style="187" customWidth="1"/>
    <col min="15126" max="15127" width="9" style="187" customWidth="1"/>
    <col min="15128" max="15128" width="9.875" style="187" customWidth="1"/>
    <col min="15129" max="15129" width="10.125" style="187" customWidth="1"/>
    <col min="15130" max="15130" width="7.875" style="187" customWidth="1"/>
    <col min="15131" max="15131" width="8.625" style="187" customWidth="1"/>
    <col min="15132" max="15132" width="7.875" style="187" customWidth="1"/>
    <col min="15133" max="15133" width="8.75" style="187" customWidth="1"/>
    <col min="15134" max="15366" width="9.125" style="187"/>
    <col min="15367" max="15367" width="5.375" style="187" customWidth="1"/>
    <col min="15368" max="15368" width="45.125" style="187" customWidth="1"/>
    <col min="15369" max="15370" width="12" style="187" customWidth="1"/>
    <col min="15371" max="15371" width="16.125" style="187" customWidth="1"/>
    <col min="15372" max="15372" width="7.75" style="187" customWidth="1"/>
    <col min="15373" max="15373" width="12" style="187" customWidth="1"/>
    <col min="15374" max="15375" width="9" style="187" customWidth="1"/>
    <col min="15376" max="15376" width="11.25" style="187" customWidth="1"/>
    <col min="15377" max="15378" width="12" style="187" customWidth="1"/>
    <col min="15379" max="15379" width="17.125" style="187" customWidth="1"/>
    <col min="15380" max="15380" width="9" style="187" customWidth="1"/>
    <col min="15381" max="15381" width="12" style="187" customWidth="1"/>
    <col min="15382" max="15383" width="9" style="187" customWidth="1"/>
    <col min="15384" max="15384" width="9.875" style="187" customWidth="1"/>
    <col min="15385" max="15385" width="10.125" style="187" customWidth="1"/>
    <col min="15386" max="15386" width="7.875" style="187" customWidth="1"/>
    <col min="15387" max="15387" width="8.625" style="187" customWidth="1"/>
    <col min="15388" max="15388" width="7.875" style="187" customWidth="1"/>
    <col min="15389" max="15389" width="8.75" style="187" customWidth="1"/>
    <col min="15390" max="15622" width="9.125" style="187"/>
    <col min="15623" max="15623" width="5.375" style="187" customWidth="1"/>
    <col min="15624" max="15624" width="45.125" style="187" customWidth="1"/>
    <col min="15625" max="15626" width="12" style="187" customWidth="1"/>
    <col min="15627" max="15627" width="16.125" style="187" customWidth="1"/>
    <col min="15628" max="15628" width="7.75" style="187" customWidth="1"/>
    <col min="15629" max="15629" width="12" style="187" customWidth="1"/>
    <col min="15630" max="15631" width="9" style="187" customWidth="1"/>
    <col min="15632" max="15632" width="11.25" style="187" customWidth="1"/>
    <col min="15633" max="15634" width="12" style="187" customWidth="1"/>
    <col min="15635" max="15635" width="17.125" style="187" customWidth="1"/>
    <col min="15636" max="15636" width="9" style="187" customWidth="1"/>
    <col min="15637" max="15637" width="12" style="187" customWidth="1"/>
    <col min="15638" max="15639" width="9" style="187" customWidth="1"/>
    <col min="15640" max="15640" width="9.875" style="187" customWidth="1"/>
    <col min="15641" max="15641" width="10.125" style="187" customWidth="1"/>
    <col min="15642" max="15642" width="7.875" style="187" customWidth="1"/>
    <col min="15643" max="15643" width="8.625" style="187" customWidth="1"/>
    <col min="15644" max="15644" width="7.875" style="187" customWidth="1"/>
    <col min="15645" max="15645" width="8.75" style="187" customWidth="1"/>
    <col min="15646" max="15878" width="9.125" style="187"/>
    <col min="15879" max="15879" width="5.375" style="187" customWidth="1"/>
    <col min="15880" max="15880" width="45.125" style="187" customWidth="1"/>
    <col min="15881" max="15882" width="12" style="187" customWidth="1"/>
    <col min="15883" max="15883" width="16.125" style="187" customWidth="1"/>
    <col min="15884" max="15884" width="7.75" style="187" customWidth="1"/>
    <col min="15885" max="15885" width="12" style="187" customWidth="1"/>
    <col min="15886" max="15887" width="9" style="187" customWidth="1"/>
    <col min="15888" max="15888" width="11.25" style="187" customWidth="1"/>
    <col min="15889" max="15890" width="12" style="187" customWidth="1"/>
    <col min="15891" max="15891" width="17.125" style="187" customWidth="1"/>
    <col min="15892" max="15892" width="9" style="187" customWidth="1"/>
    <col min="15893" max="15893" width="12" style="187" customWidth="1"/>
    <col min="15894" max="15895" width="9" style="187" customWidth="1"/>
    <col min="15896" max="15896" width="9.875" style="187" customWidth="1"/>
    <col min="15897" max="15897" width="10.125" style="187" customWidth="1"/>
    <col min="15898" max="15898" width="7.875" style="187" customWidth="1"/>
    <col min="15899" max="15899" width="8.625" style="187" customWidth="1"/>
    <col min="15900" max="15900" width="7.875" style="187" customWidth="1"/>
    <col min="15901" max="15901" width="8.75" style="187" customWidth="1"/>
    <col min="15902" max="16134" width="9.125" style="187"/>
    <col min="16135" max="16135" width="5.375" style="187" customWidth="1"/>
    <col min="16136" max="16136" width="45.125" style="187" customWidth="1"/>
    <col min="16137" max="16138" width="12" style="187" customWidth="1"/>
    <col min="16139" max="16139" width="16.125" style="187" customWidth="1"/>
    <col min="16140" max="16140" width="7.75" style="187" customWidth="1"/>
    <col min="16141" max="16141" width="12" style="187" customWidth="1"/>
    <col min="16142" max="16143" width="9" style="187" customWidth="1"/>
    <col min="16144" max="16144" width="11.25" style="187" customWidth="1"/>
    <col min="16145" max="16146" width="12" style="187" customWidth="1"/>
    <col min="16147" max="16147" width="17.125" style="187" customWidth="1"/>
    <col min="16148" max="16148" width="9" style="187" customWidth="1"/>
    <col min="16149" max="16149" width="12" style="187" customWidth="1"/>
    <col min="16150" max="16151" width="9" style="187" customWidth="1"/>
    <col min="16152" max="16152" width="9.875" style="187" customWidth="1"/>
    <col min="16153" max="16153" width="10.125" style="187" customWidth="1"/>
    <col min="16154" max="16154" width="7.875" style="187" customWidth="1"/>
    <col min="16155" max="16155" width="8.625" style="187" customWidth="1"/>
    <col min="16156" max="16156" width="7.875" style="187" customWidth="1"/>
    <col min="16157" max="16157" width="8.75" style="187" customWidth="1"/>
    <col min="16158" max="16384" width="9.125" style="187"/>
  </cols>
  <sheetData>
    <row r="1" spans="1:35" ht="16.5">
      <c r="A1" s="459"/>
      <c r="B1" s="538"/>
      <c r="C1" s="538"/>
      <c r="D1" s="153"/>
      <c r="E1" s="188"/>
      <c r="F1" s="188"/>
      <c r="G1" s="188"/>
      <c r="H1" s="188"/>
      <c r="O1" s="153"/>
      <c r="P1" s="188"/>
      <c r="Q1" s="188"/>
      <c r="R1" s="188"/>
      <c r="AB1" s="460"/>
      <c r="AD1" s="538" t="s">
        <v>1011</v>
      </c>
      <c r="AE1" s="538"/>
      <c r="AF1" s="187"/>
    </row>
    <row r="2" spans="1:35">
      <c r="A2" s="461"/>
      <c r="C2" s="188"/>
      <c r="D2" s="153"/>
      <c r="G2" s="188"/>
      <c r="O2" s="153"/>
      <c r="AB2" s="188"/>
      <c r="AF2" s="187"/>
    </row>
    <row r="3" spans="1:35" ht="21.75" customHeight="1">
      <c r="A3" s="539" t="s">
        <v>1041</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19"/>
    </row>
    <row r="4" spans="1:35" ht="21.75" customHeight="1">
      <c r="A4" s="540" t="s">
        <v>871</v>
      </c>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19"/>
    </row>
    <row r="5" spans="1:35" ht="21.75" customHeight="1">
      <c r="A5" s="462"/>
      <c r="B5" s="434"/>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19"/>
    </row>
    <row r="6" spans="1:35">
      <c r="B6" s="203"/>
      <c r="C6" s="188"/>
      <c r="D6" s="188"/>
      <c r="E6" s="188"/>
      <c r="F6" s="188"/>
      <c r="G6" s="188"/>
      <c r="H6" s="188"/>
      <c r="I6" s="188"/>
      <c r="J6" s="188"/>
      <c r="K6" s="188"/>
      <c r="L6" s="188"/>
      <c r="M6" s="188"/>
      <c r="N6" s="188"/>
      <c r="O6" s="188"/>
      <c r="P6" s="188"/>
      <c r="Q6" s="188"/>
      <c r="R6" s="188"/>
      <c r="S6" s="188"/>
      <c r="T6" s="188"/>
      <c r="U6" s="188"/>
      <c r="W6" s="153"/>
      <c r="X6" s="188"/>
      <c r="Y6" s="188"/>
      <c r="Z6" s="188"/>
      <c r="AA6" s="188"/>
      <c r="AB6" s="512"/>
      <c r="AC6" s="512"/>
      <c r="AD6" s="541" t="s">
        <v>869</v>
      </c>
      <c r="AE6" s="541"/>
      <c r="AF6" s="187"/>
    </row>
    <row r="7" spans="1:35" s="58" customFormat="1" ht="15.75" customHeight="1">
      <c r="A7" s="534" t="s">
        <v>16</v>
      </c>
      <c r="B7" s="534" t="s">
        <v>763</v>
      </c>
      <c r="C7" s="536" t="s">
        <v>665</v>
      </c>
      <c r="D7" s="542"/>
      <c r="E7" s="542"/>
      <c r="F7" s="542"/>
      <c r="G7" s="542"/>
      <c r="H7" s="542"/>
      <c r="I7" s="542"/>
      <c r="J7" s="542"/>
      <c r="K7" s="542"/>
      <c r="L7" s="542"/>
      <c r="M7" s="537"/>
      <c r="N7" s="536" t="s">
        <v>686</v>
      </c>
      <c r="O7" s="542"/>
      <c r="P7" s="542"/>
      <c r="Q7" s="542"/>
      <c r="R7" s="542"/>
      <c r="S7" s="542"/>
      <c r="T7" s="542"/>
      <c r="U7" s="542"/>
      <c r="V7" s="542"/>
      <c r="W7" s="542"/>
      <c r="X7" s="542"/>
      <c r="Y7" s="438"/>
      <c r="Z7" s="438"/>
      <c r="AA7" s="438"/>
      <c r="AB7" s="534" t="s">
        <v>687</v>
      </c>
      <c r="AC7" s="534"/>
      <c r="AD7" s="534"/>
      <c r="AE7" s="534"/>
    </row>
    <row r="8" spans="1:35" s="58" customFormat="1" ht="25.5" customHeight="1">
      <c r="A8" s="534"/>
      <c r="B8" s="534"/>
      <c r="C8" s="534" t="s">
        <v>1089</v>
      </c>
      <c r="D8" s="534" t="s">
        <v>764</v>
      </c>
      <c r="E8" s="534" t="s">
        <v>765</v>
      </c>
      <c r="F8" s="534" t="s">
        <v>766</v>
      </c>
      <c r="G8" s="536" t="s">
        <v>767</v>
      </c>
      <c r="H8" s="537"/>
      <c r="I8" s="534" t="s">
        <v>1088</v>
      </c>
      <c r="J8" s="534" t="s">
        <v>1069</v>
      </c>
      <c r="K8" s="534" t="s">
        <v>768</v>
      </c>
      <c r="L8" s="534"/>
      <c r="M8" s="534"/>
      <c r="N8" s="534" t="s">
        <v>160</v>
      </c>
      <c r="O8" s="534" t="s">
        <v>764</v>
      </c>
      <c r="P8" s="534" t="s">
        <v>765</v>
      </c>
      <c r="Q8" s="543" t="s">
        <v>164</v>
      </c>
      <c r="R8" s="544"/>
      <c r="S8" s="534" t="s">
        <v>1088</v>
      </c>
      <c r="T8" s="534" t="s">
        <v>889</v>
      </c>
      <c r="U8" s="534" t="s">
        <v>768</v>
      </c>
      <c r="V8" s="534"/>
      <c r="W8" s="534"/>
      <c r="X8" s="534" t="s">
        <v>769</v>
      </c>
      <c r="Y8" s="536" t="s">
        <v>164</v>
      </c>
      <c r="Z8" s="537"/>
      <c r="AA8" s="534" t="s">
        <v>879</v>
      </c>
      <c r="AB8" s="534" t="s">
        <v>160</v>
      </c>
      <c r="AC8" s="535" t="s">
        <v>764</v>
      </c>
      <c r="AD8" s="535" t="s">
        <v>765</v>
      </c>
      <c r="AE8" s="535" t="s">
        <v>768</v>
      </c>
    </row>
    <row r="9" spans="1:35" s="464" customFormat="1" ht="90" customHeight="1">
      <c r="A9" s="534"/>
      <c r="B9" s="534"/>
      <c r="C9" s="534"/>
      <c r="D9" s="534"/>
      <c r="E9" s="534"/>
      <c r="F9" s="534"/>
      <c r="G9" s="437" t="s">
        <v>176</v>
      </c>
      <c r="H9" s="437" t="s">
        <v>177</v>
      </c>
      <c r="I9" s="534"/>
      <c r="J9" s="534"/>
      <c r="K9" s="436" t="s">
        <v>160</v>
      </c>
      <c r="L9" s="436" t="s">
        <v>771</v>
      </c>
      <c r="M9" s="436" t="s">
        <v>772</v>
      </c>
      <c r="N9" s="534"/>
      <c r="O9" s="534"/>
      <c r="P9" s="534"/>
      <c r="Q9" s="190" t="s">
        <v>773</v>
      </c>
      <c r="R9" s="190" t="s">
        <v>774</v>
      </c>
      <c r="S9" s="534"/>
      <c r="T9" s="534"/>
      <c r="U9" s="436" t="s">
        <v>160</v>
      </c>
      <c r="V9" s="436" t="s">
        <v>771</v>
      </c>
      <c r="W9" s="436" t="s">
        <v>772</v>
      </c>
      <c r="X9" s="534"/>
      <c r="Y9" s="437" t="s">
        <v>775</v>
      </c>
      <c r="Z9" s="437" t="s">
        <v>776</v>
      </c>
      <c r="AA9" s="534"/>
      <c r="AB9" s="534"/>
      <c r="AC9" s="535"/>
      <c r="AD9" s="535"/>
      <c r="AE9" s="535"/>
    </row>
    <row r="10" spans="1:35" s="465" customFormat="1" ht="18.75" customHeight="1">
      <c r="A10" s="191" t="s">
        <v>23</v>
      </c>
      <c r="B10" s="191" t="s">
        <v>24</v>
      </c>
      <c r="C10" s="191" t="s">
        <v>777</v>
      </c>
      <c r="D10" s="191">
        <v>2</v>
      </c>
      <c r="E10" s="191">
        <v>3</v>
      </c>
      <c r="F10" s="191"/>
      <c r="G10" s="191"/>
      <c r="H10" s="191"/>
      <c r="I10" s="191">
        <v>4</v>
      </c>
      <c r="J10" s="191">
        <v>5</v>
      </c>
      <c r="K10" s="191" t="s">
        <v>778</v>
      </c>
      <c r="L10" s="191">
        <v>7</v>
      </c>
      <c r="M10" s="191">
        <v>8</v>
      </c>
      <c r="N10" s="192" t="s">
        <v>779</v>
      </c>
      <c r="O10" s="191">
        <v>10</v>
      </c>
      <c r="P10" s="191">
        <v>11</v>
      </c>
      <c r="Q10" s="191"/>
      <c r="R10" s="191"/>
      <c r="S10" s="191">
        <v>12</v>
      </c>
      <c r="T10" s="191">
        <v>13</v>
      </c>
      <c r="U10" s="191" t="s">
        <v>780</v>
      </c>
      <c r="V10" s="191">
        <v>15</v>
      </c>
      <c r="W10" s="191">
        <v>16</v>
      </c>
      <c r="X10" s="191" t="s">
        <v>781</v>
      </c>
      <c r="Y10" s="191">
        <v>18</v>
      </c>
      <c r="Z10" s="191">
        <v>19</v>
      </c>
      <c r="AA10" s="191">
        <v>20</v>
      </c>
      <c r="AB10" s="191" t="s">
        <v>782</v>
      </c>
      <c r="AC10" s="191" t="s">
        <v>783</v>
      </c>
      <c r="AD10" s="191" t="s">
        <v>784</v>
      </c>
      <c r="AE10" s="191" t="s">
        <v>785</v>
      </c>
    </row>
    <row r="11" spans="1:35" s="466" customFormat="1" ht="18.75" customHeight="1">
      <c r="A11" s="154"/>
      <c r="B11" s="154" t="s">
        <v>160</v>
      </c>
      <c r="C11" s="155">
        <f>D11+E11+I11+J11+K11</f>
        <v>5343178.0010000002</v>
      </c>
      <c r="D11" s="154">
        <f>D12+D111+D112+D113+D114+D115+D103</f>
        <v>2272491.0010000002</v>
      </c>
      <c r="E11" s="154">
        <f t="shared" ref="E11:M11" si="0">E12+E111+E112+E113+E114+E115+E103</f>
        <v>2097750</v>
      </c>
      <c r="F11" s="154">
        <f t="shared" si="0"/>
        <v>1641206</v>
      </c>
      <c r="G11" s="154">
        <f t="shared" si="0"/>
        <v>149330</v>
      </c>
      <c r="H11" s="154">
        <f t="shared" si="0"/>
        <v>307214</v>
      </c>
      <c r="I11" s="154">
        <f t="shared" si="0"/>
        <v>1300</v>
      </c>
      <c r="J11" s="154">
        <f>J12+J111+J112+J113+J114+J115+J103</f>
        <v>814749</v>
      </c>
      <c r="K11" s="154">
        <f t="shared" si="0"/>
        <v>156888</v>
      </c>
      <c r="L11" s="154">
        <f t="shared" si="0"/>
        <v>143516</v>
      </c>
      <c r="M11" s="154">
        <f t="shared" si="0"/>
        <v>13372</v>
      </c>
      <c r="N11" s="154">
        <f t="shared" ref="N11:AA11" si="1">N12+N111+N112+N113+N114+N115+N116</f>
        <v>9027415.0441269986</v>
      </c>
      <c r="O11" s="154">
        <f t="shared" si="1"/>
        <v>1630998.2421399998</v>
      </c>
      <c r="P11" s="154">
        <f t="shared" si="1"/>
        <v>1868358.755292</v>
      </c>
      <c r="Q11" s="154">
        <f t="shared" si="1"/>
        <v>1483142.0845370002</v>
      </c>
      <c r="R11" s="154">
        <f t="shared" si="1"/>
        <v>387706.50207299995</v>
      </c>
      <c r="S11" s="154">
        <f t="shared" si="1"/>
        <v>18520.929</v>
      </c>
      <c r="T11" s="154">
        <f t="shared" si="1"/>
        <v>3299196.0079999999</v>
      </c>
      <c r="U11" s="154">
        <f t="shared" si="1"/>
        <v>165821.574395</v>
      </c>
      <c r="V11" s="154">
        <f t="shared" si="1"/>
        <v>153995.07577</v>
      </c>
      <c r="W11" s="154">
        <f t="shared" si="1"/>
        <v>11826.498624999998</v>
      </c>
      <c r="X11" s="154">
        <f t="shared" si="1"/>
        <v>1859411.5550220001</v>
      </c>
      <c r="Y11" s="154">
        <f t="shared" si="1"/>
        <v>0</v>
      </c>
      <c r="Z11" s="154">
        <f t="shared" si="1"/>
        <v>0</v>
      </c>
      <c r="AA11" s="154">
        <f t="shared" si="1"/>
        <v>185107.980278</v>
      </c>
      <c r="AB11" s="299">
        <f t="shared" ref="AB11" si="2">N11/C11%</f>
        <v>168.95216746358585</v>
      </c>
      <c r="AC11" s="299">
        <f>O11/D11%</f>
        <v>71.771383975658679</v>
      </c>
      <c r="AD11" s="299">
        <f t="shared" ref="AD11" si="3">P11/E11%</f>
        <v>89.064891206864502</v>
      </c>
      <c r="AE11" s="299">
        <f>U11/K11%</f>
        <v>105.69423690467084</v>
      </c>
    </row>
    <row r="12" spans="1:35" s="466" customFormat="1" ht="24.75" customHeight="1">
      <c r="A12" s="155" t="s">
        <v>28</v>
      </c>
      <c r="B12" s="156" t="s">
        <v>161</v>
      </c>
      <c r="C12" s="155">
        <f>D12+E12+I12+J12+K12</f>
        <v>4271294.0010000002</v>
      </c>
      <c r="D12" s="155">
        <f>D13+D91</f>
        <v>2148364.0010000002</v>
      </c>
      <c r="E12" s="155">
        <f t="shared" ref="E12:Z12" si="4">E13+E91</f>
        <v>1966042</v>
      </c>
      <c r="F12" s="155">
        <f t="shared" si="4"/>
        <v>1509498</v>
      </c>
      <c r="G12" s="155">
        <f t="shared" si="4"/>
        <v>149330</v>
      </c>
      <c r="H12" s="155">
        <f t="shared" si="4"/>
        <v>307214</v>
      </c>
      <c r="I12" s="155">
        <f t="shared" si="4"/>
        <v>0</v>
      </c>
      <c r="J12" s="155">
        <f t="shared" si="4"/>
        <v>0</v>
      </c>
      <c r="K12" s="155">
        <f t="shared" si="4"/>
        <v>156888</v>
      </c>
      <c r="L12" s="155">
        <f t="shared" si="4"/>
        <v>143516</v>
      </c>
      <c r="M12" s="155">
        <f t="shared" si="4"/>
        <v>13372</v>
      </c>
      <c r="N12" s="155">
        <f t="shared" si="4"/>
        <v>3665178.5718269995</v>
      </c>
      <c r="O12" s="155">
        <f t="shared" si="4"/>
        <v>1630998.2421399998</v>
      </c>
      <c r="P12" s="155">
        <f t="shared" si="4"/>
        <v>1868358.755292</v>
      </c>
      <c r="Q12" s="155">
        <f t="shared" si="4"/>
        <v>1483142.0845370002</v>
      </c>
      <c r="R12" s="155">
        <f t="shared" si="4"/>
        <v>387706.50207299995</v>
      </c>
      <c r="S12" s="155">
        <f t="shared" si="4"/>
        <v>0</v>
      </c>
      <c r="T12" s="155">
        <f t="shared" si="4"/>
        <v>0</v>
      </c>
      <c r="U12" s="155">
        <f t="shared" si="4"/>
        <v>165821.574395</v>
      </c>
      <c r="V12" s="155">
        <f t="shared" si="4"/>
        <v>153995.07577</v>
      </c>
      <c r="W12" s="155">
        <f t="shared" si="4"/>
        <v>11826.498624999998</v>
      </c>
      <c r="X12" s="155">
        <f t="shared" si="4"/>
        <v>0</v>
      </c>
      <c r="Y12" s="155">
        <f t="shared" si="4"/>
        <v>0</v>
      </c>
      <c r="Z12" s="155">
        <f t="shared" si="4"/>
        <v>0</v>
      </c>
      <c r="AA12" s="155"/>
      <c r="AB12" s="299">
        <f t="shared" ref="AB12:AB63" si="5">N12/C12%</f>
        <v>85.809559608139921</v>
      </c>
      <c r="AC12" s="299">
        <f t="shared" ref="AC12:AC13" si="6">O12/D12%</f>
        <v>75.918151736894586</v>
      </c>
      <c r="AD12" s="299">
        <f t="shared" ref="AD12:AD63" si="7">P12/E12%</f>
        <v>95.0314772162548</v>
      </c>
      <c r="AE12" s="299">
        <f t="shared" ref="AE12:AE57" si="8">U12/K12%</f>
        <v>105.69423690467084</v>
      </c>
      <c r="AG12" s="467"/>
    </row>
    <row r="13" spans="1:35" s="466" customFormat="1" ht="33.75" customHeight="1">
      <c r="A13" s="155" t="s">
        <v>786</v>
      </c>
      <c r="B13" s="156" t="s">
        <v>787</v>
      </c>
      <c r="C13" s="155">
        <f>D13+E13+I13+J13+K13</f>
        <v>4000418.4759999998</v>
      </c>
      <c r="D13" s="155">
        <f>SUM(D14:D90)</f>
        <v>2021004.476</v>
      </c>
      <c r="E13" s="155">
        <f>SUM(E14:E90)</f>
        <v>1966042</v>
      </c>
      <c r="F13" s="155">
        <f>SUM(F14:F90)</f>
        <v>1509498</v>
      </c>
      <c r="G13" s="155">
        <f t="shared" ref="G13:H13" si="9">SUM(G14:G90)</f>
        <v>149330</v>
      </c>
      <c r="H13" s="155">
        <f t="shared" si="9"/>
        <v>307214</v>
      </c>
      <c r="I13" s="155">
        <f t="shared" ref="I13:Z13" si="10">SUM(I14:I90)</f>
        <v>0</v>
      </c>
      <c r="J13" s="155">
        <f t="shared" si="10"/>
        <v>0</v>
      </c>
      <c r="K13" s="155">
        <f t="shared" si="10"/>
        <v>13372</v>
      </c>
      <c r="L13" s="155">
        <f t="shared" si="10"/>
        <v>0</v>
      </c>
      <c r="M13" s="155">
        <f t="shared" si="10"/>
        <v>13372</v>
      </c>
      <c r="N13" s="155">
        <f>SUM(N14:N90)</f>
        <v>3371863.2432809994</v>
      </c>
      <c r="O13" s="155">
        <f t="shared" si="10"/>
        <v>1491677.9893639998</v>
      </c>
      <c r="P13" s="155">
        <f t="shared" si="10"/>
        <v>1868358.755292</v>
      </c>
      <c r="Q13" s="155">
        <f t="shared" si="10"/>
        <v>1483142.0845370002</v>
      </c>
      <c r="R13" s="155">
        <f t="shared" si="10"/>
        <v>387706.50207299995</v>
      </c>
      <c r="S13" s="155">
        <f t="shared" si="10"/>
        <v>0</v>
      </c>
      <c r="T13" s="155">
        <f t="shared" si="10"/>
        <v>0</v>
      </c>
      <c r="U13" s="155">
        <f t="shared" si="10"/>
        <v>11826.498624999998</v>
      </c>
      <c r="V13" s="155">
        <f t="shared" si="10"/>
        <v>0</v>
      </c>
      <c r="W13" s="155">
        <f>SUM(W14:W90)</f>
        <v>11826.498624999998</v>
      </c>
      <c r="X13" s="155">
        <f t="shared" si="10"/>
        <v>0</v>
      </c>
      <c r="Y13" s="155">
        <f t="shared" si="10"/>
        <v>0</v>
      </c>
      <c r="Z13" s="155">
        <f t="shared" si="10"/>
        <v>0</v>
      </c>
      <c r="AA13" s="155"/>
      <c r="AB13" s="299">
        <f t="shared" si="5"/>
        <v>84.287762980549729</v>
      </c>
      <c r="AC13" s="299">
        <f t="shared" si="6"/>
        <v>73.808742488109147</v>
      </c>
      <c r="AD13" s="299">
        <f t="shared" si="7"/>
        <v>95.0314772162548</v>
      </c>
      <c r="AE13" s="299">
        <f t="shared" si="8"/>
        <v>88.442257141788801</v>
      </c>
      <c r="AG13" s="467"/>
      <c r="AH13" s="468"/>
      <c r="AI13" s="467"/>
    </row>
    <row r="14" spans="1:35" s="469" customFormat="1" ht="39.75" customHeight="1">
      <c r="A14" s="157" t="s">
        <v>422</v>
      </c>
      <c r="B14" s="158" t="s">
        <v>1067</v>
      </c>
      <c r="C14" s="159">
        <f>D14+E14+I14+J14+K14</f>
        <v>235941</v>
      </c>
      <c r="D14" s="159">
        <v>38495</v>
      </c>
      <c r="E14" s="159">
        <f>F14+G14+H14</f>
        <v>190556</v>
      </c>
      <c r="F14" s="159">
        <f>159904+9192</f>
        <v>169096</v>
      </c>
      <c r="G14" s="159"/>
      <c r="H14" s="159">
        <f>31302-11342+1500</f>
        <v>21460</v>
      </c>
      <c r="I14" s="159"/>
      <c r="J14" s="159"/>
      <c r="K14" s="159">
        <f t="shared" ref="K14:K73" si="11">L14+M14</f>
        <v>6890</v>
      </c>
      <c r="L14" s="159"/>
      <c r="M14" s="159">
        <f>3890+3000</f>
        <v>6890</v>
      </c>
      <c r="N14" s="159">
        <f>O14+P14+S14+T14+U14</f>
        <v>197776.60174699998</v>
      </c>
      <c r="O14" s="159">
        <v>35085.492653000001</v>
      </c>
      <c r="P14" s="160">
        <f>Q14+R14</f>
        <v>156840.43621999997</v>
      </c>
      <c r="Q14" s="159">
        <f>160610.581094-W14</f>
        <v>154759.90821999998</v>
      </c>
      <c r="R14" s="160">
        <v>2080.5279999999998</v>
      </c>
      <c r="S14" s="159"/>
      <c r="T14" s="159"/>
      <c r="U14" s="159">
        <f t="shared" ref="U14:U35" si="12">V14+W14</f>
        <v>5850.6728739999999</v>
      </c>
      <c r="V14" s="159"/>
      <c r="W14" s="159">
        <f>(2418403874+1906724000+295001000+1230544000)/1000000</f>
        <v>5850.6728739999999</v>
      </c>
      <c r="X14" s="159"/>
      <c r="Y14" s="159"/>
      <c r="Z14" s="159"/>
      <c r="AA14" s="159"/>
      <c r="AB14" s="161">
        <f t="shared" si="5"/>
        <v>83.824600958290418</v>
      </c>
      <c r="AC14" s="161">
        <f>O14/D14%</f>
        <v>91.142986499545401</v>
      </c>
      <c r="AD14" s="161">
        <f t="shared" si="7"/>
        <v>82.306742490396516</v>
      </c>
      <c r="AE14" s="161">
        <f t="shared" si="8"/>
        <v>84.915426328011606</v>
      </c>
    </row>
    <row r="15" spans="1:35" s="469" customFormat="1" ht="24.75" customHeight="1">
      <c r="A15" s="162" t="s">
        <v>423</v>
      </c>
      <c r="B15" s="193" t="s">
        <v>310</v>
      </c>
      <c r="C15" s="159">
        <f t="shared" ref="C15:C73" si="13">D15+E15+I15+J15+K15</f>
        <v>76648.626000000004</v>
      </c>
      <c r="D15" s="159">
        <v>3924.6260000000002</v>
      </c>
      <c r="E15" s="159">
        <f t="shared" ref="E15:E73" si="14">F15+G15+H15</f>
        <v>72724</v>
      </c>
      <c r="F15" s="159">
        <v>28053</v>
      </c>
      <c r="G15" s="159"/>
      <c r="H15" s="159">
        <f>477+44194</f>
        <v>44671</v>
      </c>
      <c r="I15" s="159"/>
      <c r="J15" s="159"/>
      <c r="K15" s="159">
        <f t="shared" si="11"/>
        <v>0</v>
      </c>
      <c r="L15" s="159"/>
      <c r="M15" s="159"/>
      <c r="N15" s="159">
        <f>O15+P15+S15+T15+U15</f>
        <v>77743.468875000006</v>
      </c>
      <c r="O15" s="159">
        <v>13521.389000000001</v>
      </c>
      <c r="P15" s="160">
        <f>Q15+R15</f>
        <v>64222.079875000003</v>
      </c>
      <c r="Q15" s="159">
        <v>64222.079875000003</v>
      </c>
      <c r="R15" s="159"/>
      <c r="S15" s="159"/>
      <c r="T15" s="159"/>
      <c r="U15" s="159">
        <f t="shared" si="12"/>
        <v>0</v>
      </c>
      <c r="V15" s="159"/>
      <c r="W15" s="159"/>
      <c r="X15" s="159"/>
      <c r="Y15" s="159"/>
      <c r="Z15" s="159"/>
      <c r="AA15" s="159"/>
      <c r="AB15" s="161">
        <f t="shared" si="5"/>
        <v>101.42839204319202</v>
      </c>
      <c r="AC15" s="161">
        <f t="shared" ref="AC15:AC78" si="15">O15/D15%</f>
        <v>344.52681605839643</v>
      </c>
      <c r="AD15" s="161">
        <f t="shared" si="7"/>
        <v>88.309333748143672</v>
      </c>
      <c r="AE15" s="161"/>
      <c r="AG15" s="470"/>
    </row>
    <row r="16" spans="1:35" s="469" customFormat="1" ht="24.75" customHeight="1">
      <c r="A16" s="157" t="s">
        <v>424</v>
      </c>
      <c r="B16" s="163" t="s">
        <v>311</v>
      </c>
      <c r="C16" s="159">
        <f t="shared" si="13"/>
        <v>5651</v>
      </c>
      <c r="D16" s="159"/>
      <c r="E16" s="159">
        <f t="shared" si="14"/>
        <v>5651</v>
      </c>
      <c r="F16" s="159">
        <v>5651</v>
      </c>
      <c r="G16" s="159"/>
      <c r="H16" s="159"/>
      <c r="I16" s="159"/>
      <c r="J16" s="159"/>
      <c r="K16" s="159">
        <f t="shared" si="11"/>
        <v>0</v>
      </c>
      <c r="L16" s="159"/>
      <c r="M16" s="159"/>
      <c r="N16" s="159">
        <f t="shared" ref="N16:N73" si="16">O16+P16+S16+T16+U16</f>
        <v>6519.4210000000003</v>
      </c>
      <c r="O16" s="159"/>
      <c r="P16" s="160">
        <v>6519.4210000000003</v>
      </c>
      <c r="Q16" s="159">
        <v>6519.4213220000001</v>
      </c>
      <c r="R16" s="160"/>
      <c r="S16" s="159"/>
      <c r="T16" s="159"/>
      <c r="U16" s="159">
        <f t="shared" si="12"/>
        <v>0</v>
      </c>
      <c r="V16" s="159"/>
      <c r="W16" s="159"/>
      <c r="X16" s="159"/>
      <c r="Y16" s="159"/>
      <c r="Z16" s="159"/>
      <c r="AA16" s="159"/>
      <c r="AB16" s="161">
        <f t="shared" si="5"/>
        <v>115.36756326313927</v>
      </c>
      <c r="AC16" s="161"/>
      <c r="AD16" s="161">
        <f t="shared" si="7"/>
        <v>115.36756326313927</v>
      </c>
      <c r="AE16" s="161"/>
    </row>
    <row r="17" spans="1:31" s="469" customFormat="1" ht="24.75" customHeight="1">
      <c r="A17" s="162" t="s">
        <v>425</v>
      </c>
      <c r="B17" s="163" t="s">
        <v>320</v>
      </c>
      <c r="C17" s="159">
        <f t="shared" si="13"/>
        <v>31156</v>
      </c>
      <c r="D17" s="164"/>
      <c r="E17" s="159">
        <f t="shared" si="14"/>
        <v>31156</v>
      </c>
      <c r="F17" s="159">
        <v>30856</v>
      </c>
      <c r="G17" s="159"/>
      <c r="H17" s="159">
        <v>300</v>
      </c>
      <c r="I17" s="159"/>
      <c r="J17" s="159"/>
      <c r="K17" s="159">
        <f t="shared" si="11"/>
        <v>0</v>
      </c>
      <c r="L17" s="159"/>
      <c r="M17" s="159"/>
      <c r="N17" s="159">
        <f t="shared" si="16"/>
        <v>59158.771887000003</v>
      </c>
      <c r="O17" s="159"/>
      <c r="P17" s="160">
        <f>Q17+R17</f>
        <v>59158.771887000003</v>
      </c>
      <c r="Q17" s="159">
        <v>59158.771887000003</v>
      </c>
      <c r="R17" s="159"/>
      <c r="S17" s="159"/>
      <c r="T17" s="159"/>
      <c r="U17" s="159">
        <f t="shared" si="12"/>
        <v>0</v>
      </c>
      <c r="V17" s="159"/>
      <c r="W17" s="159"/>
      <c r="X17" s="159"/>
      <c r="Y17" s="159"/>
      <c r="Z17" s="159"/>
      <c r="AA17" s="159"/>
      <c r="AB17" s="161">
        <f t="shared" si="5"/>
        <v>189.87922675247145</v>
      </c>
      <c r="AC17" s="161"/>
      <c r="AD17" s="161">
        <f t="shared" si="7"/>
        <v>189.87922675247145</v>
      </c>
      <c r="AE17" s="161"/>
    </row>
    <row r="18" spans="1:31" s="469" customFormat="1" ht="24.75" customHeight="1">
      <c r="A18" s="157" t="s">
        <v>426</v>
      </c>
      <c r="B18" s="158" t="s">
        <v>323</v>
      </c>
      <c r="C18" s="159">
        <f t="shared" si="13"/>
        <v>40165</v>
      </c>
      <c r="D18" s="159">
        <v>31320</v>
      </c>
      <c r="E18" s="159">
        <f t="shared" si="14"/>
        <v>8845</v>
      </c>
      <c r="F18" s="159">
        <v>8845</v>
      </c>
      <c r="G18" s="159"/>
      <c r="H18" s="159"/>
      <c r="I18" s="159"/>
      <c r="J18" s="159"/>
      <c r="K18" s="159">
        <f t="shared" si="11"/>
        <v>0</v>
      </c>
      <c r="L18" s="159"/>
      <c r="M18" s="159"/>
      <c r="N18" s="159">
        <f t="shared" si="16"/>
        <v>85153.110266999996</v>
      </c>
      <c r="O18" s="159">
        <v>76618.680271999998</v>
      </c>
      <c r="P18" s="160">
        <f t="shared" ref="P18:P74" si="17">Q18+R18</f>
        <v>8534.4299950000004</v>
      </c>
      <c r="Q18" s="160">
        <v>8534.4299950000004</v>
      </c>
      <c r="R18" s="159"/>
      <c r="S18" s="159"/>
      <c r="T18" s="159"/>
      <c r="U18" s="159">
        <f t="shared" si="12"/>
        <v>0</v>
      </c>
      <c r="V18" s="159"/>
      <c r="W18" s="159"/>
      <c r="X18" s="159"/>
      <c r="Y18" s="159"/>
      <c r="Z18" s="159"/>
      <c r="AA18" s="159"/>
      <c r="AB18" s="161">
        <f t="shared" si="5"/>
        <v>212.00824167060875</v>
      </c>
      <c r="AC18" s="161">
        <f t="shared" si="15"/>
        <v>244.6318016347382</v>
      </c>
      <c r="AD18" s="161">
        <f t="shared" si="7"/>
        <v>96.488750650084796</v>
      </c>
      <c r="AE18" s="161"/>
    </row>
    <row r="19" spans="1:31" s="469" customFormat="1" ht="24.75" customHeight="1">
      <c r="A19" s="162" t="s">
        <v>427</v>
      </c>
      <c r="B19" s="163" t="s">
        <v>885</v>
      </c>
      <c r="C19" s="159">
        <f t="shared" si="13"/>
        <v>435433.81099999999</v>
      </c>
      <c r="D19" s="159">
        <v>2725.8110000000001</v>
      </c>
      <c r="E19" s="159">
        <f t="shared" si="14"/>
        <v>432708</v>
      </c>
      <c r="F19" s="159">
        <f>346307+30992</f>
        <v>377299</v>
      </c>
      <c r="G19" s="159"/>
      <c r="H19" s="159">
        <f>689+1241+1758+562+40+6526+7555+38+7000+30000</f>
        <v>55409</v>
      </c>
      <c r="I19" s="159"/>
      <c r="J19" s="159"/>
      <c r="K19" s="159">
        <f t="shared" si="11"/>
        <v>0</v>
      </c>
      <c r="L19" s="159"/>
      <c r="M19" s="159"/>
      <c r="N19" s="159">
        <f t="shared" si="16"/>
        <v>399876.06708100002</v>
      </c>
      <c r="O19" s="159">
        <v>34999.601000000024</v>
      </c>
      <c r="P19" s="160">
        <f t="shared" si="17"/>
        <v>364876.46608099999</v>
      </c>
      <c r="Q19" s="165">
        <f>364582.966081+294-0.5</f>
        <v>364876.46608099999</v>
      </c>
      <c r="R19" s="159"/>
      <c r="S19" s="159"/>
      <c r="T19" s="159"/>
      <c r="U19" s="159">
        <f t="shared" si="12"/>
        <v>0</v>
      </c>
      <c r="V19" s="159"/>
      <c r="W19" s="159"/>
      <c r="X19" s="159"/>
      <c r="Y19" s="159"/>
      <c r="Z19" s="159"/>
      <c r="AA19" s="159"/>
      <c r="AB19" s="161">
        <f t="shared" si="5"/>
        <v>91.833949725369408</v>
      </c>
      <c r="AC19" s="161">
        <f t="shared" si="15"/>
        <v>1284.0068882251933</v>
      </c>
      <c r="AD19" s="161">
        <f t="shared" si="7"/>
        <v>84.323947345785143</v>
      </c>
      <c r="AE19" s="161"/>
    </row>
    <row r="20" spans="1:31" s="469" customFormat="1" ht="24.75" customHeight="1">
      <c r="A20" s="157" t="s">
        <v>428</v>
      </c>
      <c r="B20" s="163" t="s">
        <v>886</v>
      </c>
      <c r="C20" s="159">
        <f t="shared" si="13"/>
        <v>334475.94699999999</v>
      </c>
      <c r="D20" s="159">
        <v>18299.947</v>
      </c>
      <c r="E20" s="159">
        <f t="shared" si="14"/>
        <v>316176</v>
      </c>
      <c r="F20" s="159">
        <f>306519+3987</f>
        <v>310506</v>
      </c>
      <c r="G20" s="159"/>
      <c r="H20" s="159">
        <v>5670</v>
      </c>
      <c r="I20" s="159"/>
      <c r="J20" s="159"/>
      <c r="K20" s="159">
        <f t="shared" si="11"/>
        <v>0</v>
      </c>
      <c r="L20" s="159"/>
      <c r="M20" s="159"/>
      <c r="N20" s="159">
        <f t="shared" si="16"/>
        <v>364074.18507499999</v>
      </c>
      <c r="O20" s="159">
        <v>16120.534228</v>
      </c>
      <c r="P20" s="160">
        <f t="shared" si="17"/>
        <v>347953.65084700001</v>
      </c>
      <c r="Q20" s="159">
        <v>333881.65084700001</v>
      </c>
      <c r="R20" s="159">
        <v>14072</v>
      </c>
      <c r="S20" s="159"/>
      <c r="T20" s="159"/>
      <c r="U20" s="159">
        <f t="shared" si="12"/>
        <v>0</v>
      </c>
      <c r="V20" s="159"/>
      <c r="W20" s="159"/>
      <c r="X20" s="159"/>
      <c r="Y20" s="159"/>
      <c r="Z20" s="159"/>
      <c r="AA20" s="159"/>
      <c r="AB20" s="161">
        <f t="shared" si="5"/>
        <v>108.84913798450206</v>
      </c>
      <c r="AC20" s="161">
        <f t="shared" si="15"/>
        <v>88.090606098476684</v>
      </c>
      <c r="AD20" s="161">
        <f t="shared" si="7"/>
        <v>110.05062080834725</v>
      </c>
      <c r="AE20" s="161"/>
    </row>
    <row r="21" spans="1:31" s="469" customFormat="1" ht="24.75" customHeight="1">
      <c r="A21" s="162" t="s">
        <v>434</v>
      </c>
      <c r="B21" s="163" t="s">
        <v>335</v>
      </c>
      <c r="C21" s="159">
        <f t="shared" si="13"/>
        <v>55756</v>
      </c>
      <c r="D21" s="159">
        <v>15060</v>
      </c>
      <c r="E21" s="159">
        <f t="shared" si="14"/>
        <v>40696</v>
      </c>
      <c r="F21" s="159">
        <v>39207</v>
      </c>
      <c r="G21" s="159"/>
      <c r="H21" s="159">
        <f>38+1451</f>
        <v>1489</v>
      </c>
      <c r="I21" s="159"/>
      <c r="J21" s="159"/>
      <c r="K21" s="159">
        <f t="shared" si="11"/>
        <v>0</v>
      </c>
      <c r="L21" s="159"/>
      <c r="M21" s="159"/>
      <c r="N21" s="159">
        <f t="shared" si="16"/>
        <v>65792.659397999989</v>
      </c>
      <c r="O21" s="159">
        <v>23960.145949999998</v>
      </c>
      <c r="P21" s="160">
        <f t="shared" si="17"/>
        <v>41832.513447999998</v>
      </c>
      <c r="Q21" s="159">
        <v>41832.513447999998</v>
      </c>
      <c r="R21" s="159"/>
      <c r="S21" s="159"/>
      <c r="T21" s="159"/>
      <c r="U21" s="159">
        <f t="shared" si="12"/>
        <v>0</v>
      </c>
      <c r="V21" s="159"/>
      <c r="W21" s="159"/>
      <c r="X21" s="159"/>
      <c r="Y21" s="159"/>
      <c r="Z21" s="159"/>
      <c r="AA21" s="159"/>
      <c r="AB21" s="161">
        <f t="shared" si="5"/>
        <v>118.00103916708515</v>
      </c>
      <c r="AC21" s="161">
        <f t="shared" si="15"/>
        <v>159.09791467463478</v>
      </c>
      <c r="AD21" s="161">
        <f t="shared" si="7"/>
        <v>102.79269080007863</v>
      </c>
      <c r="AE21" s="161"/>
    </row>
    <row r="22" spans="1:31" s="469" customFormat="1" ht="24.75" customHeight="1">
      <c r="A22" s="157" t="s">
        <v>438</v>
      </c>
      <c r="B22" s="163" t="s">
        <v>339</v>
      </c>
      <c r="C22" s="159">
        <f t="shared" si="13"/>
        <v>216440</v>
      </c>
      <c r="D22" s="159"/>
      <c r="E22" s="159">
        <f t="shared" si="14"/>
        <v>215399</v>
      </c>
      <c r="F22" s="159">
        <v>211583</v>
      </c>
      <c r="G22" s="159"/>
      <c r="H22" s="159">
        <f>150+940+420+170+90+200+605+306+935</f>
        <v>3816</v>
      </c>
      <c r="I22" s="159"/>
      <c r="J22" s="159"/>
      <c r="K22" s="159">
        <f t="shared" si="11"/>
        <v>1041</v>
      </c>
      <c r="L22" s="159"/>
      <c r="M22" s="159">
        <v>1041</v>
      </c>
      <c r="N22" s="159">
        <f t="shared" si="16"/>
        <v>59967.881847999997</v>
      </c>
      <c r="O22" s="159"/>
      <c r="P22" s="160">
        <f t="shared" si="17"/>
        <v>59305.349996999998</v>
      </c>
      <c r="Q22" s="159">
        <f>59967.881848-662.531851</f>
        <v>59305.349996999998</v>
      </c>
      <c r="R22" s="159"/>
      <c r="S22" s="159"/>
      <c r="T22" s="159"/>
      <c r="U22" s="159">
        <f t="shared" si="12"/>
        <v>662.53185099999996</v>
      </c>
      <c r="V22" s="159"/>
      <c r="W22" s="159">
        <f>(94893000+293510851+274128000)/1000000</f>
        <v>662.53185099999996</v>
      </c>
      <c r="X22" s="159"/>
      <c r="Y22" s="159"/>
      <c r="Z22" s="159"/>
      <c r="AA22" s="159"/>
      <c r="AB22" s="161">
        <f t="shared" si="5"/>
        <v>27.706469159120307</v>
      </c>
      <c r="AC22" s="161"/>
      <c r="AD22" s="161">
        <f t="shared" si="7"/>
        <v>27.532787987409414</v>
      </c>
      <c r="AE22" s="161">
        <f t="shared" si="8"/>
        <v>63.643789721421705</v>
      </c>
    </row>
    <row r="23" spans="1:31" s="469" customFormat="1" ht="24.75" customHeight="1">
      <c r="A23" s="162" t="s">
        <v>442</v>
      </c>
      <c r="B23" s="163" t="s">
        <v>342</v>
      </c>
      <c r="C23" s="159">
        <f t="shared" si="13"/>
        <v>8692</v>
      </c>
      <c r="D23" s="159"/>
      <c r="E23" s="159">
        <f t="shared" si="14"/>
        <v>8692</v>
      </c>
      <c r="F23" s="159">
        <v>8504</v>
      </c>
      <c r="G23" s="159"/>
      <c r="H23" s="159">
        <f>150+38</f>
        <v>188</v>
      </c>
      <c r="I23" s="159"/>
      <c r="J23" s="159"/>
      <c r="K23" s="159">
        <f t="shared" si="11"/>
        <v>0</v>
      </c>
      <c r="L23" s="159"/>
      <c r="M23" s="159"/>
      <c r="N23" s="159">
        <f t="shared" si="16"/>
        <v>7939.5078000000003</v>
      </c>
      <c r="O23" s="159"/>
      <c r="P23" s="160">
        <f t="shared" si="17"/>
        <v>7939.5078000000003</v>
      </c>
      <c r="Q23" s="159">
        <v>7939.5078000000003</v>
      </c>
      <c r="R23" s="159"/>
      <c r="S23" s="159"/>
      <c r="T23" s="159"/>
      <c r="U23" s="159">
        <f t="shared" si="12"/>
        <v>0</v>
      </c>
      <c r="V23" s="159"/>
      <c r="W23" s="159"/>
      <c r="X23" s="159"/>
      <c r="Y23" s="159"/>
      <c r="Z23" s="159"/>
      <c r="AA23" s="159"/>
      <c r="AB23" s="161">
        <f t="shared" si="5"/>
        <v>91.342703635526917</v>
      </c>
      <c r="AC23" s="161"/>
      <c r="AD23" s="161">
        <f t="shared" si="7"/>
        <v>91.342703635526917</v>
      </c>
      <c r="AE23" s="161"/>
    </row>
    <row r="24" spans="1:31" s="469" customFormat="1" ht="34.5" customHeight="1">
      <c r="A24" s="157" t="s">
        <v>443</v>
      </c>
      <c r="B24" s="163" t="s">
        <v>345</v>
      </c>
      <c r="C24" s="159">
        <f t="shared" si="13"/>
        <v>66679</v>
      </c>
      <c r="D24" s="159"/>
      <c r="E24" s="159">
        <f t="shared" si="14"/>
        <v>66679</v>
      </c>
      <c r="F24" s="159">
        <v>66679</v>
      </c>
      <c r="G24" s="159"/>
      <c r="H24" s="159"/>
      <c r="I24" s="159"/>
      <c r="J24" s="159"/>
      <c r="K24" s="159">
        <f t="shared" si="11"/>
        <v>0</v>
      </c>
      <c r="L24" s="159"/>
      <c r="M24" s="159"/>
      <c r="N24" s="159">
        <f t="shared" si="16"/>
        <v>82206.758376000013</v>
      </c>
      <c r="O24" s="159"/>
      <c r="P24" s="160">
        <f t="shared" si="17"/>
        <v>82206.758376000013</v>
      </c>
      <c r="Q24" s="159">
        <v>11165.839599999999</v>
      </c>
      <c r="R24" s="159">
        <v>71040.918776000006</v>
      </c>
      <c r="S24" s="159"/>
      <c r="T24" s="159"/>
      <c r="U24" s="159">
        <f t="shared" si="12"/>
        <v>0</v>
      </c>
      <c r="V24" s="159"/>
      <c r="W24" s="159"/>
      <c r="X24" s="159"/>
      <c r="Y24" s="159"/>
      <c r="Z24" s="159"/>
      <c r="AA24" s="159"/>
      <c r="AB24" s="161">
        <f t="shared" si="5"/>
        <v>123.28732940805953</v>
      </c>
      <c r="AC24" s="161"/>
      <c r="AD24" s="161">
        <f t="shared" si="7"/>
        <v>123.28732940805953</v>
      </c>
      <c r="AE24" s="161"/>
    </row>
    <row r="25" spans="1:31" s="469" customFormat="1" ht="24.75" customHeight="1">
      <c r="A25" s="162" t="s">
        <v>444</v>
      </c>
      <c r="B25" s="163" t="s">
        <v>346</v>
      </c>
      <c r="C25" s="159">
        <f t="shared" si="13"/>
        <v>29105</v>
      </c>
      <c r="D25" s="159">
        <v>10000</v>
      </c>
      <c r="E25" s="159">
        <f t="shared" si="14"/>
        <v>19105</v>
      </c>
      <c r="F25" s="159">
        <v>19105</v>
      </c>
      <c r="G25" s="159"/>
      <c r="H25" s="159"/>
      <c r="I25" s="159"/>
      <c r="J25" s="159"/>
      <c r="K25" s="159">
        <f t="shared" si="11"/>
        <v>0</v>
      </c>
      <c r="L25" s="159"/>
      <c r="M25" s="159"/>
      <c r="N25" s="159">
        <f t="shared" si="16"/>
        <v>19298.861631</v>
      </c>
      <c r="O25" s="159">
        <v>4426.9546970000001</v>
      </c>
      <c r="P25" s="160">
        <f t="shared" si="17"/>
        <v>14871.906934000001</v>
      </c>
      <c r="Q25" s="159">
        <v>14471.906934000001</v>
      </c>
      <c r="R25" s="159">
        <v>400</v>
      </c>
      <c r="S25" s="159"/>
      <c r="T25" s="159"/>
      <c r="U25" s="159">
        <f t="shared" si="12"/>
        <v>0</v>
      </c>
      <c r="V25" s="159"/>
      <c r="W25" s="159"/>
      <c r="X25" s="159"/>
      <c r="Y25" s="159"/>
      <c r="Z25" s="159"/>
      <c r="AA25" s="159"/>
      <c r="AB25" s="161">
        <f t="shared" si="5"/>
        <v>66.307719055145157</v>
      </c>
      <c r="AC25" s="161">
        <f t="shared" si="15"/>
        <v>44.26954697</v>
      </c>
      <c r="AD25" s="161">
        <f t="shared" si="7"/>
        <v>77.84300933786966</v>
      </c>
      <c r="AE25" s="161"/>
    </row>
    <row r="26" spans="1:31" s="469" customFormat="1" ht="24.75" customHeight="1">
      <c r="A26" s="157" t="s">
        <v>445</v>
      </c>
      <c r="B26" s="163" t="s">
        <v>348</v>
      </c>
      <c r="C26" s="159">
        <f t="shared" si="13"/>
        <v>11109</v>
      </c>
      <c r="D26" s="159"/>
      <c r="E26" s="159">
        <f t="shared" si="14"/>
        <v>10609</v>
      </c>
      <c r="F26" s="159">
        <v>10483</v>
      </c>
      <c r="G26" s="159"/>
      <c r="H26" s="159">
        <v>126</v>
      </c>
      <c r="I26" s="159"/>
      <c r="J26" s="159"/>
      <c r="K26" s="159">
        <f t="shared" si="11"/>
        <v>500</v>
      </c>
      <c r="L26" s="159"/>
      <c r="M26" s="159">
        <v>500</v>
      </c>
      <c r="N26" s="159">
        <f t="shared" si="16"/>
        <v>10815.034</v>
      </c>
      <c r="O26" s="159"/>
      <c r="P26" s="160">
        <f t="shared" si="17"/>
        <v>10315.034</v>
      </c>
      <c r="Q26" s="159">
        <f>10815.034-500</f>
        <v>10315.034</v>
      </c>
      <c r="R26" s="159"/>
      <c r="S26" s="159"/>
      <c r="T26" s="159"/>
      <c r="U26" s="159">
        <f t="shared" si="12"/>
        <v>500</v>
      </c>
      <c r="V26" s="159"/>
      <c r="W26" s="159">
        <v>500</v>
      </c>
      <c r="X26" s="159"/>
      <c r="Y26" s="159"/>
      <c r="Z26" s="159"/>
      <c r="AA26" s="159"/>
      <c r="AB26" s="161">
        <f t="shared" si="5"/>
        <v>97.353803222612285</v>
      </c>
      <c r="AC26" s="161"/>
      <c r="AD26" s="161">
        <f t="shared" si="7"/>
        <v>97.229088509755854</v>
      </c>
      <c r="AE26" s="161">
        <f t="shared" si="8"/>
        <v>100</v>
      </c>
    </row>
    <row r="27" spans="1:31" s="469" customFormat="1" ht="24.75" customHeight="1">
      <c r="A27" s="162" t="s">
        <v>446</v>
      </c>
      <c r="B27" s="163" t="s">
        <v>349</v>
      </c>
      <c r="C27" s="159">
        <f t="shared" si="13"/>
        <v>8469</v>
      </c>
      <c r="D27" s="159"/>
      <c r="E27" s="159">
        <f t="shared" si="14"/>
        <v>8155</v>
      </c>
      <c r="F27" s="159">
        <v>8117</v>
      </c>
      <c r="G27" s="159"/>
      <c r="H27" s="159">
        <v>38</v>
      </c>
      <c r="I27" s="159"/>
      <c r="J27" s="159"/>
      <c r="K27" s="159">
        <f t="shared" si="11"/>
        <v>314</v>
      </c>
      <c r="L27" s="159"/>
      <c r="M27" s="159">
        <v>314</v>
      </c>
      <c r="N27" s="159">
        <f t="shared" si="16"/>
        <v>7243.653491</v>
      </c>
      <c r="O27" s="159"/>
      <c r="P27" s="160">
        <f t="shared" si="17"/>
        <v>6967.0355909999998</v>
      </c>
      <c r="Q27" s="159">
        <f>7243.653491-276.6179</f>
        <v>6967.0355909999998</v>
      </c>
      <c r="R27" s="159"/>
      <c r="S27" s="159"/>
      <c r="T27" s="159"/>
      <c r="U27" s="159">
        <f t="shared" si="12"/>
        <v>276.61790000000002</v>
      </c>
      <c r="V27" s="159"/>
      <c r="W27" s="159">
        <v>276.61790000000002</v>
      </c>
      <c r="X27" s="159"/>
      <c r="Y27" s="159"/>
      <c r="Z27" s="159"/>
      <c r="AA27" s="159"/>
      <c r="AB27" s="161">
        <f t="shared" si="5"/>
        <v>85.531390848978631</v>
      </c>
      <c r="AC27" s="161"/>
      <c r="AD27" s="161">
        <f t="shared" si="7"/>
        <v>85.432686584917235</v>
      </c>
      <c r="AE27" s="161">
        <f t="shared" si="8"/>
        <v>88.094872611464965</v>
      </c>
    </row>
    <row r="28" spans="1:31" s="469" customFormat="1" ht="24.75" customHeight="1">
      <c r="A28" s="157" t="s">
        <v>447</v>
      </c>
      <c r="B28" s="163" t="s">
        <v>351</v>
      </c>
      <c r="C28" s="159">
        <f t="shared" si="13"/>
        <v>134538.71400000001</v>
      </c>
      <c r="D28" s="159">
        <v>117969.71400000001</v>
      </c>
      <c r="E28" s="159">
        <f t="shared" si="14"/>
        <v>16569</v>
      </c>
      <c r="F28" s="159">
        <v>16569</v>
      </c>
      <c r="G28" s="159"/>
      <c r="H28" s="159"/>
      <c r="I28" s="159"/>
      <c r="J28" s="159"/>
      <c r="K28" s="159">
        <f t="shared" si="11"/>
        <v>0</v>
      </c>
      <c r="L28" s="159"/>
      <c r="M28" s="159"/>
      <c r="N28" s="159">
        <f t="shared" si="16"/>
        <v>149102.15895499999</v>
      </c>
      <c r="O28" s="159">
        <v>131684.06603399999</v>
      </c>
      <c r="P28" s="160">
        <f t="shared" si="17"/>
        <v>17418.092921000003</v>
      </c>
      <c r="Q28" s="159">
        <f>9734.275448+1466.521473+6217.296</f>
        <v>17418.092921000003</v>
      </c>
      <c r="R28" s="159"/>
      <c r="S28" s="159"/>
      <c r="T28" s="159"/>
      <c r="U28" s="159">
        <f t="shared" si="12"/>
        <v>0</v>
      </c>
      <c r="V28" s="159"/>
      <c r="W28" s="159"/>
      <c r="X28" s="159"/>
      <c r="Y28" s="159"/>
      <c r="Z28" s="159"/>
      <c r="AA28" s="159"/>
      <c r="AB28" s="161">
        <f t="shared" si="5"/>
        <v>110.82472436521132</v>
      </c>
      <c r="AC28" s="161">
        <f t="shared" si="15"/>
        <v>111.62531599762968</v>
      </c>
      <c r="AD28" s="161">
        <f t="shared" si="7"/>
        <v>105.12458760939106</v>
      </c>
      <c r="AE28" s="161"/>
    </row>
    <row r="29" spans="1:31" s="469" customFormat="1" ht="24.75" customHeight="1">
      <c r="A29" s="162" t="s">
        <v>565</v>
      </c>
      <c r="B29" s="163" t="s">
        <v>354</v>
      </c>
      <c r="C29" s="159">
        <f t="shared" si="13"/>
        <v>17130</v>
      </c>
      <c r="D29" s="159"/>
      <c r="E29" s="159">
        <f t="shared" si="14"/>
        <v>17130</v>
      </c>
      <c r="F29" s="159">
        <v>14372</v>
      </c>
      <c r="G29" s="159"/>
      <c r="H29" s="159">
        <f>958+1800</f>
        <v>2758</v>
      </c>
      <c r="I29" s="159"/>
      <c r="J29" s="159"/>
      <c r="K29" s="159">
        <f t="shared" si="11"/>
        <v>0</v>
      </c>
      <c r="L29" s="159"/>
      <c r="M29" s="159"/>
      <c r="N29" s="159">
        <f t="shared" si="16"/>
        <v>19969.91302</v>
      </c>
      <c r="O29" s="159"/>
      <c r="P29" s="160">
        <f t="shared" si="17"/>
        <v>19969.91302</v>
      </c>
      <c r="Q29" s="160">
        <v>19969.91302</v>
      </c>
      <c r="R29" s="159"/>
      <c r="S29" s="159"/>
      <c r="T29" s="159"/>
      <c r="U29" s="159">
        <f t="shared" si="12"/>
        <v>0</v>
      </c>
      <c r="V29" s="159"/>
      <c r="W29" s="159"/>
      <c r="X29" s="159"/>
      <c r="Y29" s="159"/>
      <c r="Z29" s="159"/>
      <c r="AA29" s="159"/>
      <c r="AB29" s="161">
        <f t="shared" si="5"/>
        <v>116.57859322825452</v>
      </c>
      <c r="AC29" s="161"/>
      <c r="AD29" s="161">
        <f t="shared" si="7"/>
        <v>116.57859322825452</v>
      </c>
      <c r="AE29" s="161"/>
    </row>
    <row r="30" spans="1:31" s="469" customFormat="1" ht="24.75" customHeight="1">
      <c r="A30" s="157" t="s">
        <v>566</v>
      </c>
      <c r="B30" s="163" t="s">
        <v>359</v>
      </c>
      <c r="C30" s="159">
        <f t="shared" si="13"/>
        <v>24681</v>
      </c>
      <c r="D30" s="159">
        <v>9080</v>
      </c>
      <c r="E30" s="159">
        <f t="shared" si="14"/>
        <v>15601</v>
      </c>
      <c r="F30" s="159">
        <v>15556</v>
      </c>
      <c r="G30" s="159"/>
      <c r="H30" s="159">
        <v>45</v>
      </c>
      <c r="I30" s="159"/>
      <c r="J30" s="159"/>
      <c r="K30" s="159">
        <f t="shared" si="11"/>
        <v>0</v>
      </c>
      <c r="L30" s="159"/>
      <c r="M30" s="159"/>
      <c r="N30" s="159">
        <f t="shared" si="16"/>
        <v>23979.656999999999</v>
      </c>
      <c r="O30" s="159">
        <v>8217.8590000000004</v>
      </c>
      <c r="P30" s="160">
        <f t="shared" si="17"/>
        <v>15761.798000000001</v>
      </c>
      <c r="Q30" s="159">
        <v>15761.798000000001</v>
      </c>
      <c r="R30" s="159"/>
      <c r="S30" s="159"/>
      <c r="T30" s="159"/>
      <c r="U30" s="159">
        <f t="shared" si="12"/>
        <v>0</v>
      </c>
      <c r="V30" s="159"/>
      <c r="W30" s="159"/>
      <c r="X30" s="159"/>
      <c r="Y30" s="159"/>
      <c r="Z30" s="159"/>
      <c r="AA30" s="159"/>
      <c r="AB30" s="161">
        <f t="shared" si="5"/>
        <v>97.158368785705605</v>
      </c>
      <c r="AC30" s="161">
        <f t="shared" si="15"/>
        <v>90.505055066079308</v>
      </c>
      <c r="AD30" s="161">
        <f t="shared" si="7"/>
        <v>101.03069034036281</v>
      </c>
      <c r="AE30" s="161"/>
    </row>
    <row r="31" spans="1:31" s="469" customFormat="1" ht="24.75" customHeight="1">
      <c r="A31" s="162" t="s">
        <v>788</v>
      </c>
      <c r="B31" s="163" t="s">
        <v>361</v>
      </c>
      <c r="C31" s="159">
        <f t="shared" si="13"/>
        <v>139774</v>
      </c>
      <c r="D31" s="159">
        <v>126755</v>
      </c>
      <c r="E31" s="159">
        <f t="shared" si="14"/>
        <v>9602</v>
      </c>
      <c r="F31" s="159">
        <v>6838</v>
      </c>
      <c r="G31" s="159"/>
      <c r="H31" s="159">
        <f>330+280+542+1612</f>
        <v>2764</v>
      </c>
      <c r="I31" s="159"/>
      <c r="J31" s="159"/>
      <c r="K31" s="159">
        <f t="shared" si="11"/>
        <v>3417</v>
      </c>
      <c r="L31" s="159"/>
      <c r="M31" s="159">
        <v>3417</v>
      </c>
      <c r="N31" s="159">
        <f t="shared" si="16"/>
        <v>48046.4689</v>
      </c>
      <c r="O31" s="159">
        <v>34801.029900000001</v>
      </c>
      <c r="P31" s="160">
        <f t="shared" si="17"/>
        <v>9828.0390000000007</v>
      </c>
      <c r="Q31" s="159">
        <f>13245.039-3417</f>
        <v>9828.0390000000007</v>
      </c>
      <c r="R31" s="159"/>
      <c r="S31" s="159"/>
      <c r="T31" s="159"/>
      <c r="U31" s="159">
        <f t="shared" si="12"/>
        <v>3417.4</v>
      </c>
      <c r="V31" s="159"/>
      <c r="W31" s="159">
        <f>3417.4</f>
        <v>3417.4</v>
      </c>
      <c r="X31" s="159"/>
      <c r="Y31" s="159"/>
      <c r="Z31" s="159"/>
      <c r="AA31" s="159"/>
      <c r="AB31" s="161">
        <f t="shared" si="5"/>
        <v>34.374396454276187</v>
      </c>
      <c r="AC31" s="161">
        <f t="shared" si="15"/>
        <v>27.455350794840442</v>
      </c>
      <c r="AD31" s="161">
        <f t="shared" si="7"/>
        <v>102.3540824828161</v>
      </c>
      <c r="AE31" s="161">
        <f t="shared" si="8"/>
        <v>100.01170617500732</v>
      </c>
    </row>
    <row r="32" spans="1:31" s="469" customFormat="1" ht="24.75" customHeight="1">
      <c r="A32" s="157" t="s">
        <v>789</v>
      </c>
      <c r="B32" s="163" t="s">
        <v>362</v>
      </c>
      <c r="C32" s="159">
        <f t="shared" si="13"/>
        <v>8332</v>
      </c>
      <c r="D32" s="159"/>
      <c r="E32" s="159">
        <f t="shared" si="14"/>
        <v>8332</v>
      </c>
      <c r="F32" s="159">
        <v>8332</v>
      </c>
      <c r="G32" s="159"/>
      <c r="H32" s="159"/>
      <c r="I32" s="159"/>
      <c r="J32" s="159"/>
      <c r="K32" s="159">
        <f t="shared" si="11"/>
        <v>0</v>
      </c>
      <c r="L32" s="159"/>
      <c r="M32" s="159"/>
      <c r="N32" s="159">
        <f t="shared" si="16"/>
        <v>55017.512741999999</v>
      </c>
      <c r="O32" s="159">
        <v>2066.4539999999997</v>
      </c>
      <c r="P32" s="160">
        <f t="shared" si="17"/>
        <v>52951.058742000001</v>
      </c>
      <c r="Q32" s="159">
        <v>52951.058742000001</v>
      </c>
      <c r="R32" s="159"/>
      <c r="S32" s="159"/>
      <c r="T32" s="159"/>
      <c r="U32" s="159">
        <f t="shared" si="12"/>
        <v>0</v>
      </c>
      <c r="V32" s="159"/>
      <c r="W32" s="159"/>
      <c r="X32" s="159"/>
      <c r="Y32" s="159"/>
      <c r="Z32" s="159"/>
      <c r="AA32" s="159"/>
      <c r="AB32" s="161">
        <f t="shared" si="5"/>
        <v>660.31580343254927</v>
      </c>
      <c r="AC32" s="161"/>
      <c r="AD32" s="161">
        <f t="shared" si="7"/>
        <v>635.51438720595297</v>
      </c>
      <c r="AE32" s="161"/>
    </row>
    <row r="33" spans="1:31" s="469" customFormat="1" ht="24.75" customHeight="1">
      <c r="A33" s="162" t="s">
        <v>790</v>
      </c>
      <c r="B33" s="163" t="s">
        <v>366</v>
      </c>
      <c r="C33" s="159">
        <f t="shared" si="13"/>
        <v>6939</v>
      </c>
      <c r="D33" s="159"/>
      <c r="E33" s="159">
        <f t="shared" si="14"/>
        <v>6939</v>
      </c>
      <c r="F33" s="159">
        <v>6939</v>
      </c>
      <c r="G33" s="159"/>
      <c r="H33" s="159"/>
      <c r="I33" s="159"/>
      <c r="J33" s="159"/>
      <c r="K33" s="159">
        <f t="shared" si="11"/>
        <v>0</v>
      </c>
      <c r="L33" s="159"/>
      <c r="M33" s="159"/>
      <c r="N33" s="159">
        <f t="shared" si="16"/>
        <v>7730.8980979999997</v>
      </c>
      <c r="O33" s="159"/>
      <c r="P33" s="160">
        <f t="shared" si="17"/>
        <v>7730.8980979999997</v>
      </c>
      <c r="Q33" s="159">
        <v>7730.8980979999997</v>
      </c>
      <c r="R33" s="159"/>
      <c r="S33" s="159"/>
      <c r="T33" s="159"/>
      <c r="U33" s="159">
        <f t="shared" si="12"/>
        <v>0</v>
      </c>
      <c r="V33" s="159"/>
      <c r="W33" s="159"/>
      <c r="X33" s="159"/>
      <c r="Y33" s="159"/>
      <c r="Z33" s="159"/>
      <c r="AA33" s="159"/>
      <c r="AB33" s="161">
        <f t="shared" si="5"/>
        <v>111.41227983859345</v>
      </c>
      <c r="AC33" s="161"/>
      <c r="AD33" s="161">
        <f t="shared" si="7"/>
        <v>111.41227983859345</v>
      </c>
      <c r="AE33" s="161"/>
    </row>
    <row r="34" spans="1:31" s="469" customFormat="1" ht="24.75" customHeight="1">
      <c r="A34" s="157" t="s">
        <v>791</v>
      </c>
      <c r="B34" s="163" t="s">
        <v>367</v>
      </c>
      <c r="C34" s="159">
        <f t="shared" si="13"/>
        <v>12980</v>
      </c>
      <c r="D34" s="159"/>
      <c r="E34" s="159">
        <f t="shared" si="14"/>
        <v>12980</v>
      </c>
      <c r="F34" s="159">
        <v>12980</v>
      </c>
      <c r="G34" s="159"/>
      <c r="H34" s="159"/>
      <c r="I34" s="159"/>
      <c r="J34" s="159"/>
      <c r="K34" s="159">
        <f t="shared" si="11"/>
        <v>0</v>
      </c>
      <c r="L34" s="159"/>
      <c r="M34" s="159"/>
      <c r="N34" s="159">
        <f t="shared" si="16"/>
        <v>15486.457733000001</v>
      </c>
      <c r="O34" s="159">
        <v>3196.7249999999999</v>
      </c>
      <c r="P34" s="160">
        <f t="shared" si="17"/>
        <v>12289.732733000001</v>
      </c>
      <c r="Q34" s="159">
        <f>12289.732733</f>
        <v>12289.732733000001</v>
      </c>
      <c r="R34" s="159"/>
      <c r="S34" s="159"/>
      <c r="T34" s="159"/>
      <c r="U34" s="159">
        <f t="shared" si="12"/>
        <v>0</v>
      </c>
      <c r="V34" s="159"/>
      <c r="W34" s="159"/>
      <c r="X34" s="159"/>
      <c r="Y34" s="159"/>
      <c r="Z34" s="159"/>
      <c r="AA34" s="159"/>
      <c r="AB34" s="161">
        <f t="shared" si="5"/>
        <v>119.31015202619415</v>
      </c>
      <c r="AC34" s="161"/>
      <c r="AD34" s="161">
        <f t="shared" si="7"/>
        <v>94.68207036209553</v>
      </c>
      <c r="AE34" s="161"/>
    </row>
    <row r="35" spans="1:31" s="469" customFormat="1" ht="24.75" customHeight="1">
      <c r="A35" s="162" t="s">
        <v>792</v>
      </c>
      <c r="B35" s="163" t="s">
        <v>369</v>
      </c>
      <c r="C35" s="159">
        <f t="shared" si="13"/>
        <v>300</v>
      </c>
      <c r="D35" s="159"/>
      <c r="E35" s="159">
        <f t="shared" si="14"/>
        <v>300</v>
      </c>
      <c r="F35" s="159">
        <v>300</v>
      </c>
      <c r="G35" s="159"/>
      <c r="H35" s="159"/>
      <c r="I35" s="159"/>
      <c r="J35" s="159"/>
      <c r="K35" s="159">
        <f t="shared" si="11"/>
        <v>0</v>
      </c>
      <c r="L35" s="159"/>
      <c r="M35" s="159"/>
      <c r="N35" s="159">
        <f t="shared" si="16"/>
        <v>275</v>
      </c>
      <c r="O35" s="159"/>
      <c r="P35" s="160">
        <f t="shared" si="17"/>
        <v>275</v>
      </c>
      <c r="Q35" s="159">
        <v>275</v>
      </c>
      <c r="R35" s="159"/>
      <c r="S35" s="159"/>
      <c r="T35" s="159"/>
      <c r="U35" s="159">
        <f t="shared" si="12"/>
        <v>0</v>
      </c>
      <c r="V35" s="159"/>
      <c r="W35" s="159"/>
      <c r="X35" s="159"/>
      <c r="Y35" s="159"/>
      <c r="Z35" s="159"/>
      <c r="AA35" s="159"/>
      <c r="AB35" s="161">
        <f t="shared" si="5"/>
        <v>91.666666666666671</v>
      </c>
      <c r="AC35" s="161"/>
      <c r="AD35" s="161">
        <f t="shared" si="7"/>
        <v>91.666666666666671</v>
      </c>
      <c r="AE35" s="161"/>
    </row>
    <row r="36" spans="1:31" s="469" customFormat="1" ht="24.75" customHeight="1">
      <c r="A36" s="157" t="s">
        <v>793</v>
      </c>
      <c r="B36" s="163" t="s">
        <v>370</v>
      </c>
      <c r="C36" s="159">
        <f t="shared" si="13"/>
        <v>55096.955000000002</v>
      </c>
      <c r="D36" s="159">
        <v>43090.955000000002</v>
      </c>
      <c r="E36" s="159">
        <f t="shared" si="14"/>
        <v>12006</v>
      </c>
      <c r="F36" s="159">
        <v>12006</v>
      </c>
      <c r="G36" s="159"/>
      <c r="H36" s="159"/>
      <c r="I36" s="159"/>
      <c r="J36" s="159"/>
      <c r="K36" s="159">
        <f t="shared" si="11"/>
        <v>0</v>
      </c>
      <c r="L36" s="159"/>
      <c r="M36" s="159"/>
      <c r="N36" s="159">
        <f t="shared" si="16"/>
        <v>33215.872761999999</v>
      </c>
      <c r="O36" s="159">
        <v>20612.71357</v>
      </c>
      <c r="P36" s="160">
        <f t="shared" si="17"/>
        <v>12603.159191999999</v>
      </c>
      <c r="Q36" s="159">
        <v>12603.159191999999</v>
      </c>
      <c r="R36" s="159"/>
      <c r="S36" s="159"/>
      <c r="T36" s="159"/>
      <c r="U36" s="159"/>
      <c r="V36" s="159"/>
      <c r="W36" s="159"/>
      <c r="X36" s="159"/>
      <c r="Y36" s="159"/>
      <c r="Z36" s="159"/>
      <c r="AA36" s="159"/>
      <c r="AB36" s="161">
        <f t="shared" si="5"/>
        <v>60.28622228215697</v>
      </c>
      <c r="AC36" s="161">
        <f t="shared" si="15"/>
        <v>47.835360274563421</v>
      </c>
      <c r="AD36" s="161">
        <f t="shared" si="7"/>
        <v>104.97383968015991</v>
      </c>
      <c r="AE36" s="161"/>
    </row>
    <row r="37" spans="1:31" s="469" customFormat="1" ht="24.75" customHeight="1">
      <c r="A37" s="162" t="s">
        <v>794</v>
      </c>
      <c r="B37" s="163" t="s">
        <v>372</v>
      </c>
      <c r="C37" s="159">
        <f t="shared" si="13"/>
        <v>9777</v>
      </c>
      <c r="D37" s="159"/>
      <c r="E37" s="159">
        <f t="shared" si="14"/>
        <v>9777</v>
      </c>
      <c r="F37" s="159">
        <v>9777</v>
      </c>
      <c r="G37" s="159"/>
      <c r="H37" s="159"/>
      <c r="I37" s="159"/>
      <c r="J37" s="159"/>
      <c r="K37" s="159">
        <f t="shared" si="11"/>
        <v>0</v>
      </c>
      <c r="L37" s="159"/>
      <c r="M37" s="159"/>
      <c r="N37" s="159">
        <f t="shared" si="16"/>
        <v>10383.138717</v>
      </c>
      <c r="O37" s="159"/>
      <c r="P37" s="160">
        <f t="shared" si="17"/>
        <v>10383.138717</v>
      </c>
      <c r="Q37" s="159">
        <v>10383.138717</v>
      </c>
      <c r="R37" s="159"/>
      <c r="S37" s="159"/>
      <c r="T37" s="159"/>
      <c r="U37" s="159">
        <f>V37+W37</f>
        <v>0</v>
      </c>
      <c r="V37" s="159"/>
      <c r="W37" s="159"/>
      <c r="X37" s="159"/>
      <c r="Y37" s="159"/>
      <c r="Z37" s="159"/>
      <c r="AA37" s="159"/>
      <c r="AB37" s="161">
        <f t="shared" si="5"/>
        <v>106.1996391224302</v>
      </c>
      <c r="AC37" s="161"/>
      <c r="AD37" s="161">
        <f t="shared" si="7"/>
        <v>106.1996391224302</v>
      </c>
      <c r="AE37" s="161"/>
    </row>
    <row r="38" spans="1:31" s="469" customFormat="1" ht="24.75" customHeight="1">
      <c r="A38" s="157" t="s">
        <v>795</v>
      </c>
      <c r="B38" s="163" t="s">
        <v>373</v>
      </c>
      <c r="C38" s="159">
        <f t="shared" si="13"/>
        <v>24408.808000000001</v>
      </c>
      <c r="D38" s="159">
        <v>1654.808</v>
      </c>
      <c r="E38" s="159">
        <f t="shared" si="14"/>
        <v>22754</v>
      </c>
      <c r="F38" s="159">
        <v>22754</v>
      </c>
      <c r="G38" s="159"/>
      <c r="H38" s="159"/>
      <c r="I38" s="159"/>
      <c r="J38" s="159"/>
      <c r="K38" s="159">
        <f t="shared" si="11"/>
        <v>0</v>
      </c>
      <c r="L38" s="159"/>
      <c r="M38" s="159"/>
      <c r="N38" s="159">
        <f t="shared" si="16"/>
        <v>31240.717065000001</v>
      </c>
      <c r="O38" s="159">
        <v>8547.8487339999992</v>
      </c>
      <c r="P38" s="160">
        <f t="shared" si="17"/>
        <v>22692.868331000001</v>
      </c>
      <c r="Q38" s="159">
        <v>22692.868331000001</v>
      </c>
      <c r="R38" s="159"/>
      <c r="S38" s="159"/>
      <c r="T38" s="159"/>
      <c r="U38" s="159">
        <f>V38+W38</f>
        <v>0</v>
      </c>
      <c r="V38" s="159"/>
      <c r="W38" s="159"/>
      <c r="X38" s="159"/>
      <c r="Y38" s="159"/>
      <c r="Z38" s="159"/>
      <c r="AA38" s="159"/>
      <c r="AB38" s="161">
        <f t="shared" si="5"/>
        <v>127.98952355641454</v>
      </c>
      <c r="AC38" s="161">
        <f t="shared" si="15"/>
        <v>516.54625394607717</v>
      </c>
      <c r="AD38" s="161">
        <f t="shared" si="7"/>
        <v>99.73133660455305</v>
      </c>
      <c r="AE38" s="161"/>
    </row>
    <row r="39" spans="1:31" s="469" customFormat="1" ht="24.75" customHeight="1">
      <c r="A39" s="162" t="s">
        <v>796</v>
      </c>
      <c r="B39" s="163" t="s">
        <v>374</v>
      </c>
      <c r="C39" s="159">
        <f t="shared" si="13"/>
        <v>2631</v>
      </c>
      <c r="D39" s="159"/>
      <c r="E39" s="159">
        <f t="shared" si="14"/>
        <v>2631</v>
      </c>
      <c r="F39" s="159">
        <v>2631</v>
      </c>
      <c r="G39" s="159"/>
      <c r="H39" s="159"/>
      <c r="I39" s="159"/>
      <c r="J39" s="159"/>
      <c r="K39" s="159">
        <f t="shared" si="11"/>
        <v>0</v>
      </c>
      <c r="L39" s="159"/>
      <c r="M39" s="159"/>
      <c r="N39" s="159">
        <f t="shared" si="16"/>
        <v>2317.8087879999998</v>
      </c>
      <c r="O39" s="159"/>
      <c r="P39" s="160">
        <f t="shared" si="17"/>
        <v>2317.8087879999998</v>
      </c>
      <c r="Q39" s="159">
        <v>2317.8087879999998</v>
      </c>
      <c r="R39" s="159"/>
      <c r="S39" s="159"/>
      <c r="T39" s="159"/>
      <c r="U39" s="159">
        <f>V39+W39</f>
        <v>0</v>
      </c>
      <c r="V39" s="159"/>
      <c r="W39" s="159"/>
      <c r="X39" s="159"/>
      <c r="Y39" s="159"/>
      <c r="Z39" s="159"/>
      <c r="AA39" s="159"/>
      <c r="AB39" s="161">
        <f t="shared" si="5"/>
        <v>88.096115089319653</v>
      </c>
      <c r="AC39" s="161"/>
      <c r="AD39" s="161">
        <f t="shared" si="7"/>
        <v>88.096115089319653</v>
      </c>
      <c r="AE39" s="161"/>
    </row>
    <row r="40" spans="1:31" s="469" customFormat="1" ht="24.75" customHeight="1">
      <c r="A40" s="157" t="s">
        <v>797</v>
      </c>
      <c r="B40" s="163" t="s">
        <v>375</v>
      </c>
      <c r="C40" s="159">
        <f t="shared" si="13"/>
        <v>4878</v>
      </c>
      <c r="D40" s="159"/>
      <c r="E40" s="159">
        <f t="shared" si="14"/>
        <v>4528</v>
      </c>
      <c r="F40" s="159">
        <v>4528</v>
      </c>
      <c r="G40" s="159"/>
      <c r="H40" s="159"/>
      <c r="I40" s="159"/>
      <c r="J40" s="159"/>
      <c r="K40" s="159">
        <f t="shared" si="11"/>
        <v>350</v>
      </c>
      <c r="L40" s="159"/>
      <c r="M40" s="159">
        <v>350</v>
      </c>
      <c r="N40" s="159">
        <f t="shared" si="16"/>
        <v>5406.0748880000001</v>
      </c>
      <c r="O40" s="159"/>
      <c r="P40" s="160">
        <f t="shared" si="17"/>
        <v>5115.426888</v>
      </c>
      <c r="Q40" s="159">
        <f>4406.074888-290.648</f>
        <v>4115.426888</v>
      </c>
      <c r="R40" s="159">
        <v>1000</v>
      </c>
      <c r="S40" s="159"/>
      <c r="T40" s="159"/>
      <c r="U40" s="159">
        <f t="shared" ref="U40:U90" si="18">V40+W40</f>
        <v>290.64800000000002</v>
      </c>
      <c r="V40" s="159"/>
      <c r="W40" s="159">
        <v>290.64800000000002</v>
      </c>
      <c r="X40" s="159"/>
      <c r="Y40" s="159"/>
      <c r="Z40" s="159"/>
      <c r="AA40" s="159"/>
      <c r="AB40" s="161">
        <f t="shared" si="5"/>
        <v>110.82564346043461</v>
      </c>
      <c r="AC40" s="161"/>
      <c r="AD40" s="161">
        <f t="shared" si="7"/>
        <v>112.97320865724382</v>
      </c>
      <c r="AE40" s="161">
        <f t="shared" si="8"/>
        <v>83.042285714285725</v>
      </c>
    </row>
    <row r="41" spans="1:31" s="469" customFormat="1" ht="24.75" customHeight="1">
      <c r="A41" s="162" t="s">
        <v>798</v>
      </c>
      <c r="B41" s="163" t="s">
        <v>376</v>
      </c>
      <c r="C41" s="159">
        <f t="shared" si="13"/>
        <v>7000</v>
      </c>
      <c r="D41" s="159"/>
      <c r="E41" s="159">
        <f t="shared" si="14"/>
        <v>6800</v>
      </c>
      <c r="F41" s="159">
        <v>6762</v>
      </c>
      <c r="G41" s="159"/>
      <c r="H41" s="159">
        <v>38</v>
      </c>
      <c r="I41" s="159"/>
      <c r="J41" s="159"/>
      <c r="K41" s="159">
        <f t="shared" si="11"/>
        <v>200</v>
      </c>
      <c r="L41" s="159"/>
      <c r="M41" s="159">
        <v>200</v>
      </c>
      <c r="N41" s="159">
        <f t="shared" si="16"/>
        <v>6719.3927089999997</v>
      </c>
      <c r="O41" s="159"/>
      <c r="P41" s="160">
        <f t="shared" si="17"/>
        <v>6519.4587089999995</v>
      </c>
      <c r="Q41" s="159">
        <f>6719.392709-199.934</f>
        <v>6519.4587089999995</v>
      </c>
      <c r="R41" s="159"/>
      <c r="S41" s="159"/>
      <c r="T41" s="159"/>
      <c r="U41" s="159">
        <f t="shared" si="18"/>
        <v>199.934</v>
      </c>
      <c r="V41" s="159"/>
      <c r="W41" s="159">
        <v>199.934</v>
      </c>
      <c r="X41" s="159"/>
      <c r="Y41" s="159"/>
      <c r="Z41" s="159"/>
      <c r="AA41" s="159"/>
      <c r="AB41" s="161">
        <f t="shared" si="5"/>
        <v>95.991324414285714</v>
      </c>
      <c r="AC41" s="161"/>
      <c r="AD41" s="161">
        <f t="shared" si="7"/>
        <v>95.874392779411764</v>
      </c>
      <c r="AE41" s="161">
        <f t="shared" si="8"/>
        <v>99.966999999999999</v>
      </c>
    </row>
    <row r="42" spans="1:31" s="469" customFormat="1" ht="24.75" customHeight="1">
      <c r="A42" s="157" t="s">
        <v>799</v>
      </c>
      <c r="B42" s="163" t="s">
        <v>377</v>
      </c>
      <c r="C42" s="159">
        <f t="shared" si="13"/>
        <v>6982</v>
      </c>
      <c r="D42" s="159"/>
      <c r="E42" s="159">
        <f t="shared" si="14"/>
        <v>6622</v>
      </c>
      <c r="F42" s="159">
        <v>6374</v>
      </c>
      <c r="G42" s="159"/>
      <c r="H42" s="159">
        <v>248</v>
      </c>
      <c r="I42" s="159"/>
      <c r="J42" s="159"/>
      <c r="K42" s="159">
        <f t="shared" si="11"/>
        <v>360</v>
      </c>
      <c r="L42" s="159"/>
      <c r="M42" s="159">
        <v>360</v>
      </c>
      <c r="N42" s="159">
        <f t="shared" si="16"/>
        <v>6225.0375770000001</v>
      </c>
      <c r="O42" s="159"/>
      <c r="P42" s="160">
        <f t="shared" si="17"/>
        <v>5869.7375769999999</v>
      </c>
      <c r="Q42" s="159">
        <f>6224.737577-355</f>
        <v>5869.7375769999999</v>
      </c>
      <c r="R42" s="159"/>
      <c r="S42" s="159"/>
      <c r="T42" s="159"/>
      <c r="U42" s="159">
        <f t="shared" si="18"/>
        <v>355.3</v>
      </c>
      <c r="V42" s="159"/>
      <c r="W42" s="159">
        <v>355.3</v>
      </c>
      <c r="X42" s="159"/>
      <c r="Y42" s="159"/>
      <c r="Z42" s="159"/>
      <c r="AA42" s="159"/>
      <c r="AB42" s="161">
        <f t="shared" si="5"/>
        <v>89.158372629619024</v>
      </c>
      <c r="AC42" s="161"/>
      <c r="AD42" s="161">
        <f t="shared" si="7"/>
        <v>88.639951328903649</v>
      </c>
      <c r="AE42" s="161">
        <f t="shared" si="8"/>
        <v>98.694444444444443</v>
      </c>
    </row>
    <row r="43" spans="1:31" s="469" customFormat="1" ht="24.75" customHeight="1">
      <c r="A43" s="162" t="s">
        <v>800</v>
      </c>
      <c r="B43" s="163" t="s">
        <v>887</v>
      </c>
      <c r="C43" s="159">
        <f t="shared" si="13"/>
        <v>91007.546000000002</v>
      </c>
      <c r="D43" s="159">
        <v>19006.545999999998</v>
      </c>
      <c r="E43" s="159">
        <f t="shared" si="14"/>
        <v>72001</v>
      </c>
      <c r="F43" s="159">
        <f>14690+12379+30230</f>
        <v>57299</v>
      </c>
      <c r="G43" s="159"/>
      <c r="H43" s="159">
        <f>1060+6688+40+34+1880+5000</f>
        <v>14702</v>
      </c>
      <c r="I43" s="159"/>
      <c r="J43" s="159"/>
      <c r="K43" s="159">
        <f t="shared" si="11"/>
        <v>0</v>
      </c>
      <c r="L43" s="159"/>
      <c r="M43" s="159"/>
      <c r="N43" s="159">
        <f t="shared" si="16"/>
        <v>126177.185539</v>
      </c>
      <c r="O43" s="159">
        <f>17655.748808+45297.868407</f>
        <v>62953.617215000006</v>
      </c>
      <c r="P43" s="160">
        <f t="shared" si="17"/>
        <v>63223.568324</v>
      </c>
      <c r="Q43" s="159">
        <v>63223.568324</v>
      </c>
      <c r="R43" s="159"/>
      <c r="S43" s="159"/>
      <c r="T43" s="159"/>
      <c r="U43" s="159">
        <f t="shared" si="18"/>
        <v>0</v>
      </c>
      <c r="V43" s="159"/>
      <c r="W43" s="159"/>
      <c r="X43" s="159"/>
      <c r="Y43" s="159"/>
      <c r="Z43" s="159"/>
      <c r="AA43" s="159"/>
      <c r="AB43" s="161">
        <f t="shared" si="5"/>
        <v>138.64475099570313</v>
      </c>
      <c r="AC43" s="161">
        <f t="shared" si="15"/>
        <v>331.22071319533813</v>
      </c>
      <c r="AD43" s="161">
        <f t="shared" si="7"/>
        <v>87.809291987611289</v>
      </c>
      <c r="AE43" s="161"/>
    </row>
    <row r="44" spans="1:31" s="469" customFormat="1" ht="24.75" customHeight="1">
      <c r="A44" s="157" t="s">
        <v>801</v>
      </c>
      <c r="B44" s="163" t="s">
        <v>381</v>
      </c>
      <c r="C44" s="159">
        <f t="shared" si="13"/>
        <v>684</v>
      </c>
      <c r="D44" s="159"/>
      <c r="E44" s="159">
        <f t="shared" si="14"/>
        <v>684</v>
      </c>
      <c r="F44" s="159">
        <v>684</v>
      </c>
      <c r="G44" s="159"/>
      <c r="H44" s="159"/>
      <c r="I44" s="159"/>
      <c r="J44" s="159"/>
      <c r="K44" s="159">
        <f t="shared" si="11"/>
        <v>0</v>
      </c>
      <c r="L44" s="159"/>
      <c r="M44" s="159"/>
      <c r="N44" s="159">
        <f t="shared" si="16"/>
        <v>651</v>
      </c>
      <c r="O44" s="159"/>
      <c r="P44" s="160">
        <f t="shared" si="17"/>
        <v>651</v>
      </c>
      <c r="Q44" s="159">
        <v>651</v>
      </c>
      <c r="R44" s="159"/>
      <c r="S44" s="159"/>
      <c r="T44" s="159"/>
      <c r="U44" s="159">
        <f t="shared" si="18"/>
        <v>0</v>
      </c>
      <c r="V44" s="159"/>
      <c r="W44" s="159"/>
      <c r="X44" s="159"/>
      <c r="Y44" s="159"/>
      <c r="Z44" s="159"/>
      <c r="AA44" s="159"/>
      <c r="AB44" s="161">
        <f t="shared" si="5"/>
        <v>95.175438596491233</v>
      </c>
      <c r="AC44" s="161"/>
      <c r="AD44" s="161">
        <f t="shared" si="7"/>
        <v>95.175438596491233</v>
      </c>
      <c r="AE44" s="161"/>
    </row>
    <row r="45" spans="1:31" s="469" customFormat="1" ht="33.75" customHeight="1">
      <c r="A45" s="162" t="s">
        <v>802</v>
      </c>
      <c r="B45" s="163" t="s">
        <v>382</v>
      </c>
      <c r="C45" s="159">
        <f t="shared" si="13"/>
        <v>544</v>
      </c>
      <c r="D45" s="159"/>
      <c r="E45" s="159">
        <f t="shared" si="14"/>
        <v>544</v>
      </c>
      <c r="F45" s="159">
        <v>544</v>
      </c>
      <c r="G45" s="159"/>
      <c r="H45" s="159"/>
      <c r="I45" s="159"/>
      <c r="J45" s="159"/>
      <c r="K45" s="159">
        <f t="shared" si="11"/>
        <v>0</v>
      </c>
      <c r="L45" s="159"/>
      <c r="M45" s="159"/>
      <c r="N45" s="159">
        <f t="shared" si="16"/>
        <v>499</v>
      </c>
      <c r="O45" s="159"/>
      <c r="P45" s="160">
        <f t="shared" si="17"/>
        <v>499</v>
      </c>
      <c r="Q45" s="159">
        <v>499</v>
      </c>
      <c r="R45" s="159"/>
      <c r="S45" s="159"/>
      <c r="T45" s="159"/>
      <c r="U45" s="159">
        <f t="shared" si="18"/>
        <v>0</v>
      </c>
      <c r="V45" s="159"/>
      <c r="W45" s="159"/>
      <c r="X45" s="159"/>
      <c r="Y45" s="159"/>
      <c r="Z45" s="159"/>
      <c r="AA45" s="159"/>
      <c r="AB45" s="161">
        <f t="shared" si="5"/>
        <v>91.72794117647058</v>
      </c>
      <c r="AC45" s="161"/>
      <c r="AD45" s="161">
        <f t="shared" si="7"/>
        <v>91.72794117647058</v>
      </c>
      <c r="AE45" s="161"/>
    </row>
    <row r="46" spans="1:31" s="469" customFormat="1" ht="24.75" customHeight="1">
      <c r="A46" s="157" t="s">
        <v>803</v>
      </c>
      <c r="B46" s="163" t="s">
        <v>383</v>
      </c>
      <c r="C46" s="159">
        <f t="shared" si="13"/>
        <v>420</v>
      </c>
      <c r="D46" s="159"/>
      <c r="E46" s="159">
        <f t="shared" si="14"/>
        <v>420</v>
      </c>
      <c r="F46" s="159">
        <v>420</v>
      </c>
      <c r="G46" s="159"/>
      <c r="H46" s="159"/>
      <c r="I46" s="159"/>
      <c r="J46" s="159"/>
      <c r="K46" s="159">
        <f t="shared" si="11"/>
        <v>0</v>
      </c>
      <c r="L46" s="159"/>
      <c r="M46" s="159"/>
      <c r="N46" s="159">
        <f t="shared" si="16"/>
        <v>387</v>
      </c>
      <c r="O46" s="159"/>
      <c r="P46" s="160">
        <f t="shared" si="17"/>
        <v>387</v>
      </c>
      <c r="Q46" s="159">
        <v>387</v>
      </c>
      <c r="R46" s="159"/>
      <c r="S46" s="159"/>
      <c r="T46" s="159"/>
      <c r="U46" s="159">
        <f t="shared" si="18"/>
        <v>0</v>
      </c>
      <c r="V46" s="159"/>
      <c r="W46" s="159"/>
      <c r="X46" s="159"/>
      <c r="Y46" s="159"/>
      <c r="Z46" s="159"/>
      <c r="AA46" s="159"/>
      <c r="AB46" s="161">
        <f t="shared" si="5"/>
        <v>92.142857142857139</v>
      </c>
      <c r="AC46" s="161"/>
      <c r="AD46" s="161">
        <f t="shared" si="7"/>
        <v>92.142857142857139</v>
      </c>
      <c r="AE46" s="161"/>
    </row>
    <row r="47" spans="1:31" s="469" customFormat="1" ht="24.75" customHeight="1">
      <c r="A47" s="162" t="s">
        <v>804</v>
      </c>
      <c r="B47" s="163" t="s">
        <v>384</v>
      </c>
      <c r="C47" s="159">
        <f t="shared" si="13"/>
        <v>453</v>
      </c>
      <c r="D47" s="159"/>
      <c r="E47" s="159">
        <f t="shared" si="14"/>
        <v>453</v>
      </c>
      <c r="F47" s="159">
        <v>453</v>
      </c>
      <c r="G47" s="159"/>
      <c r="H47" s="159"/>
      <c r="I47" s="159"/>
      <c r="J47" s="159"/>
      <c r="K47" s="159">
        <f t="shared" si="11"/>
        <v>0</v>
      </c>
      <c r="L47" s="159"/>
      <c r="M47" s="159"/>
      <c r="N47" s="159">
        <f t="shared" si="16"/>
        <v>435.4</v>
      </c>
      <c r="O47" s="159"/>
      <c r="P47" s="160">
        <f t="shared" si="17"/>
        <v>435.4</v>
      </c>
      <c r="Q47" s="159">
        <v>435.4</v>
      </c>
      <c r="R47" s="159"/>
      <c r="S47" s="159"/>
      <c r="T47" s="159"/>
      <c r="U47" s="159">
        <f t="shared" si="18"/>
        <v>0</v>
      </c>
      <c r="V47" s="159"/>
      <c r="W47" s="159"/>
      <c r="X47" s="159"/>
      <c r="Y47" s="159"/>
      <c r="Z47" s="159"/>
      <c r="AA47" s="159"/>
      <c r="AB47" s="161">
        <f t="shared" si="5"/>
        <v>96.114790286975705</v>
      </c>
      <c r="AC47" s="161"/>
      <c r="AD47" s="161">
        <f t="shared" si="7"/>
        <v>96.114790286975705</v>
      </c>
      <c r="AE47" s="161"/>
    </row>
    <row r="48" spans="1:31" s="469" customFormat="1" ht="24.75" customHeight="1">
      <c r="A48" s="157" t="s">
        <v>805</v>
      </c>
      <c r="B48" s="163" t="s">
        <v>385</v>
      </c>
      <c r="C48" s="159">
        <f t="shared" si="13"/>
        <v>100</v>
      </c>
      <c r="D48" s="159"/>
      <c r="E48" s="159">
        <f t="shared" si="14"/>
        <v>100</v>
      </c>
      <c r="F48" s="159">
        <v>100</v>
      </c>
      <c r="G48" s="159"/>
      <c r="H48" s="159"/>
      <c r="I48" s="159"/>
      <c r="J48" s="159"/>
      <c r="K48" s="159">
        <f t="shared" si="11"/>
        <v>0</v>
      </c>
      <c r="L48" s="159"/>
      <c r="M48" s="159"/>
      <c r="N48" s="159">
        <f t="shared" si="16"/>
        <v>90</v>
      </c>
      <c r="O48" s="159"/>
      <c r="P48" s="160">
        <f t="shared" si="17"/>
        <v>90</v>
      </c>
      <c r="Q48" s="159">
        <v>90</v>
      </c>
      <c r="R48" s="159"/>
      <c r="S48" s="159"/>
      <c r="T48" s="159"/>
      <c r="U48" s="159">
        <f t="shared" si="18"/>
        <v>0</v>
      </c>
      <c r="V48" s="159"/>
      <c r="W48" s="159"/>
      <c r="X48" s="159"/>
      <c r="Y48" s="159"/>
      <c r="Z48" s="159"/>
      <c r="AA48" s="159"/>
      <c r="AB48" s="161">
        <f t="shared" si="5"/>
        <v>90</v>
      </c>
      <c r="AC48" s="161"/>
      <c r="AD48" s="161">
        <f t="shared" si="7"/>
        <v>90</v>
      </c>
      <c r="AE48" s="161"/>
    </row>
    <row r="49" spans="1:31" s="469" customFormat="1" ht="24.75" customHeight="1">
      <c r="A49" s="162" t="s">
        <v>806</v>
      </c>
      <c r="B49" s="163" t="s">
        <v>386</v>
      </c>
      <c r="C49" s="159">
        <f t="shared" si="13"/>
        <v>1062</v>
      </c>
      <c r="D49" s="159"/>
      <c r="E49" s="159">
        <f t="shared" si="14"/>
        <v>1062</v>
      </c>
      <c r="F49" s="159">
        <v>967</v>
      </c>
      <c r="G49" s="159"/>
      <c r="H49" s="159">
        <v>95</v>
      </c>
      <c r="I49" s="159"/>
      <c r="J49" s="159"/>
      <c r="K49" s="159">
        <f t="shared" si="11"/>
        <v>0</v>
      </c>
      <c r="L49" s="159"/>
      <c r="M49" s="159"/>
      <c r="N49" s="159">
        <f t="shared" si="16"/>
        <v>856.09</v>
      </c>
      <c r="O49" s="159"/>
      <c r="P49" s="160">
        <f t="shared" si="17"/>
        <v>856.09</v>
      </c>
      <c r="Q49" s="159">
        <v>856.09</v>
      </c>
      <c r="R49" s="159"/>
      <c r="S49" s="159"/>
      <c r="T49" s="159"/>
      <c r="U49" s="159">
        <f t="shared" si="18"/>
        <v>0</v>
      </c>
      <c r="V49" s="159"/>
      <c r="W49" s="159"/>
      <c r="X49" s="159"/>
      <c r="Y49" s="159"/>
      <c r="Z49" s="159"/>
      <c r="AA49" s="159"/>
      <c r="AB49" s="161">
        <f t="shared" si="5"/>
        <v>80.611111111111114</v>
      </c>
      <c r="AC49" s="161"/>
      <c r="AD49" s="161">
        <f t="shared" si="7"/>
        <v>80.611111111111114</v>
      </c>
      <c r="AE49" s="161"/>
    </row>
    <row r="50" spans="1:31" s="469" customFormat="1" ht="34.5" customHeight="1">
      <c r="A50" s="157" t="s">
        <v>807</v>
      </c>
      <c r="B50" s="163" t="s">
        <v>387</v>
      </c>
      <c r="C50" s="159">
        <f t="shared" si="13"/>
        <v>1724</v>
      </c>
      <c r="D50" s="159"/>
      <c r="E50" s="159">
        <f t="shared" si="14"/>
        <v>1724</v>
      </c>
      <c r="F50" s="159">
        <v>1724</v>
      </c>
      <c r="G50" s="159"/>
      <c r="H50" s="159"/>
      <c r="I50" s="159"/>
      <c r="J50" s="159"/>
      <c r="K50" s="159">
        <f t="shared" si="11"/>
        <v>0</v>
      </c>
      <c r="L50" s="159"/>
      <c r="M50" s="159"/>
      <c r="N50" s="159">
        <f t="shared" si="16"/>
        <v>1599</v>
      </c>
      <c r="O50" s="159"/>
      <c r="P50" s="160">
        <f t="shared" si="17"/>
        <v>1599</v>
      </c>
      <c r="Q50" s="159">
        <v>1599</v>
      </c>
      <c r="R50" s="159"/>
      <c r="S50" s="159"/>
      <c r="T50" s="159"/>
      <c r="U50" s="159">
        <f t="shared" si="18"/>
        <v>0</v>
      </c>
      <c r="V50" s="159"/>
      <c r="W50" s="159"/>
      <c r="X50" s="159"/>
      <c r="Y50" s="159"/>
      <c r="Z50" s="159"/>
      <c r="AA50" s="159"/>
      <c r="AB50" s="161">
        <f t="shared" si="5"/>
        <v>92.749419953596302</v>
      </c>
      <c r="AC50" s="161"/>
      <c r="AD50" s="161">
        <f t="shared" si="7"/>
        <v>92.749419953596302</v>
      </c>
      <c r="AE50" s="161"/>
    </row>
    <row r="51" spans="1:31" s="469" customFormat="1" ht="24.75" customHeight="1">
      <c r="A51" s="162" t="s">
        <v>808</v>
      </c>
      <c r="B51" s="163" t="s">
        <v>390</v>
      </c>
      <c r="C51" s="159">
        <f t="shared" si="13"/>
        <v>422</v>
      </c>
      <c r="D51" s="159"/>
      <c r="E51" s="159">
        <f t="shared" si="14"/>
        <v>422</v>
      </c>
      <c r="F51" s="159">
        <v>422</v>
      </c>
      <c r="G51" s="159"/>
      <c r="H51" s="159"/>
      <c r="I51" s="159"/>
      <c r="J51" s="159"/>
      <c r="K51" s="159">
        <f t="shared" si="11"/>
        <v>0</v>
      </c>
      <c r="L51" s="159"/>
      <c r="M51" s="159"/>
      <c r="N51" s="159">
        <f t="shared" si="16"/>
        <v>364.4</v>
      </c>
      <c r="O51" s="159"/>
      <c r="P51" s="160">
        <f t="shared" si="17"/>
        <v>364.4</v>
      </c>
      <c r="Q51" s="159">
        <v>364.4</v>
      </c>
      <c r="R51" s="159"/>
      <c r="S51" s="159"/>
      <c r="T51" s="159"/>
      <c r="U51" s="159">
        <f t="shared" si="18"/>
        <v>0</v>
      </c>
      <c r="V51" s="159"/>
      <c r="W51" s="159"/>
      <c r="X51" s="159"/>
      <c r="Y51" s="159"/>
      <c r="Z51" s="159"/>
      <c r="AA51" s="159"/>
      <c r="AB51" s="161">
        <f t="shared" si="5"/>
        <v>86.350710900473928</v>
      </c>
      <c r="AC51" s="161"/>
      <c r="AD51" s="161">
        <f t="shared" si="7"/>
        <v>86.350710900473928</v>
      </c>
      <c r="AE51" s="161"/>
    </row>
    <row r="52" spans="1:31" s="469" customFormat="1" ht="24.75" customHeight="1">
      <c r="A52" s="157" t="s">
        <v>809</v>
      </c>
      <c r="B52" s="163" t="s">
        <v>391</v>
      </c>
      <c r="C52" s="159">
        <f t="shared" si="13"/>
        <v>1406</v>
      </c>
      <c r="D52" s="159"/>
      <c r="E52" s="159">
        <f t="shared" si="14"/>
        <v>1406</v>
      </c>
      <c r="F52" s="159">
        <v>931</v>
      </c>
      <c r="G52" s="159"/>
      <c r="H52" s="159">
        <v>475</v>
      </c>
      <c r="I52" s="159"/>
      <c r="J52" s="159"/>
      <c r="K52" s="159">
        <f t="shared" si="11"/>
        <v>0</v>
      </c>
      <c r="L52" s="159"/>
      <c r="M52" s="159"/>
      <c r="N52" s="159">
        <f t="shared" si="16"/>
        <v>1456.8</v>
      </c>
      <c r="O52" s="159"/>
      <c r="P52" s="160">
        <f t="shared" si="17"/>
        <v>1456.8</v>
      </c>
      <c r="Q52" s="159">
        <v>1456.8</v>
      </c>
      <c r="R52" s="159"/>
      <c r="S52" s="159"/>
      <c r="T52" s="159"/>
      <c r="U52" s="159">
        <f t="shared" si="18"/>
        <v>0</v>
      </c>
      <c r="V52" s="159"/>
      <c r="W52" s="159"/>
      <c r="X52" s="159"/>
      <c r="Y52" s="159"/>
      <c r="Z52" s="159"/>
      <c r="AA52" s="159"/>
      <c r="AB52" s="161">
        <f t="shared" si="5"/>
        <v>103.6130867709815</v>
      </c>
      <c r="AC52" s="161"/>
      <c r="AD52" s="161">
        <f t="shared" si="7"/>
        <v>103.6130867709815</v>
      </c>
      <c r="AE52" s="161"/>
    </row>
    <row r="53" spans="1:31" s="469" customFormat="1" ht="24.75" customHeight="1">
      <c r="A53" s="162" t="s">
        <v>810</v>
      </c>
      <c r="B53" s="163" t="s">
        <v>874</v>
      </c>
      <c r="C53" s="159">
        <f t="shared" ref="C53:C54" si="19">D53+E53+I53+J53+K53</f>
        <v>223</v>
      </c>
      <c r="D53" s="159"/>
      <c r="E53" s="159">
        <f t="shared" ref="E53:E54" si="20">F53+G53+H53</f>
        <v>223</v>
      </c>
      <c r="F53" s="159">
        <v>223</v>
      </c>
      <c r="G53" s="159"/>
      <c r="H53" s="159"/>
      <c r="I53" s="159"/>
      <c r="J53" s="159"/>
      <c r="K53" s="159">
        <f t="shared" ref="K53:K54" si="21">L53+M53</f>
        <v>0</v>
      </c>
      <c r="L53" s="159"/>
      <c r="M53" s="159"/>
      <c r="N53" s="159">
        <f t="shared" ref="N53:N54" si="22">O53+P53+S53+T53+U53</f>
        <v>0</v>
      </c>
      <c r="O53" s="159"/>
      <c r="P53" s="160">
        <f t="shared" si="17"/>
        <v>0</v>
      </c>
      <c r="Q53" s="159"/>
      <c r="R53" s="159"/>
      <c r="S53" s="159"/>
      <c r="T53" s="159"/>
      <c r="U53" s="159">
        <f t="shared" ref="U53:U54" si="23">V53+W53</f>
        <v>0</v>
      </c>
      <c r="V53" s="159"/>
      <c r="W53" s="159"/>
      <c r="X53" s="159"/>
      <c r="Y53" s="159"/>
      <c r="Z53" s="159"/>
      <c r="AA53" s="159"/>
      <c r="AB53" s="161">
        <f t="shared" si="5"/>
        <v>0</v>
      </c>
      <c r="AC53" s="161"/>
      <c r="AD53" s="161">
        <f t="shared" si="7"/>
        <v>0</v>
      </c>
      <c r="AE53" s="161"/>
    </row>
    <row r="54" spans="1:31" s="469" customFormat="1" ht="24.75" customHeight="1">
      <c r="A54" s="157" t="s">
        <v>811</v>
      </c>
      <c r="B54" s="163" t="s">
        <v>393</v>
      </c>
      <c r="C54" s="159">
        <f t="shared" si="19"/>
        <v>100</v>
      </c>
      <c r="D54" s="159"/>
      <c r="E54" s="159">
        <f t="shared" si="20"/>
        <v>100</v>
      </c>
      <c r="F54" s="159">
        <v>100</v>
      </c>
      <c r="G54" s="159"/>
      <c r="H54" s="159"/>
      <c r="I54" s="159"/>
      <c r="J54" s="159"/>
      <c r="K54" s="159">
        <f t="shared" si="21"/>
        <v>0</v>
      </c>
      <c r="L54" s="159"/>
      <c r="M54" s="159"/>
      <c r="N54" s="159">
        <f t="shared" si="22"/>
        <v>0</v>
      </c>
      <c r="O54" s="159"/>
      <c r="P54" s="160">
        <f t="shared" si="17"/>
        <v>0</v>
      </c>
      <c r="Q54" s="159"/>
      <c r="R54" s="159"/>
      <c r="S54" s="159"/>
      <c r="T54" s="159"/>
      <c r="U54" s="159">
        <f t="shared" si="23"/>
        <v>0</v>
      </c>
      <c r="V54" s="159"/>
      <c r="W54" s="159"/>
      <c r="X54" s="159"/>
      <c r="Y54" s="159"/>
      <c r="Z54" s="159"/>
      <c r="AA54" s="159"/>
      <c r="AB54" s="161">
        <f t="shared" si="5"/>
        <v>0</v>
      </c>
      <c r="AC54" s="161"/>
      <c r="AD54" s="161">
        <f t="shared" si="7"/>
        <v>0</v>
      </c>
      <c r="AE54" s="161"/>
    </row>
    <row r="55" spans="1:31" s="469" customFormat="1" ht="24.75" customHeight="1">
      <c r="A55" s="162" t="s">
        <v>812</v>
      </c>
      <c r="B55" s="163" t="s">
        <v>394</v>
      </c>
      <c r="C55" s="159">
        <f t="shared" si="13"/>
        <v>355</v>
      </c>
      <c r="D55" s="159"/>
      <c r="E55" s="159">
        <f t="shared" si="14"/>
        <v>355</v>
      </c>
      <c r="F55" s="159">
        <v>355</v>
      </c>
      <c r="G55" s="159"/>
      <c r="H55" s="159"/>
      <c r="I55" s="159"/>
      <c r="J55" s="159"/>
      <c r="K55" s="159">
        <f t="shared" si="11"/>
        <v>0</v>
      </c>
      <c r="L55" s="159"/>
      <c r="M55" s="159"/>
      <c r="N55" s="159">
        <f t="shared" si="16"/>
        <v>349</v>
      </c>
      <c r="O55" s="159"/>
      <c r="P55" s="160">
        <f t="shared" si="17"/>
        <v>349</v>
      </c>
      <c r="Q55" s="159">
        <v>349</v>
      </c>
      <c r="R55" s="159"/>
      <c r="S55" s="159"/>
      <c r="T55" s="159"/>
      <c r="U55" s="159">
        <f t="shared" si="18"/>
        <v>0</v>
      </c>
      <c r="V55" s="159"/>
      <c r="W55" s="159"/>
      <c r="X55" s="159"/>
      <c r="Y55" s="159"/>
      <c r="Z55" s="159"/>
      <c r="AA55" s="159"/>
      <c r="AB55" s="161">
        <f t="shared" si="5"/>
        <v>98.309859154929583</v>
      </c>
      <c r="AC55" s="161"/>
      <c r="AD55" s="161">
        <f t="shared" si="7"/>
        <v>98.309859154929583</v>
      </c>
      <c r="AE55" s="161"/>
    </row>
    <row r="56" spans="1:31" s="469" customFormat="1" ht="24.75" customHeight="1">
      <c r="A56" s="157" t="s">
        <v>813</v>
      </c>
      <c r="B56" s="158" t="s">
        <v>395</v>
      </c>
      <c r="C56" s="159">
        <f t="shared" si="13"/>
        <v>1948</v>
      </c>
      <c r="D56" s="159"/>
      <c r="E56" s="159">
        <f t="shared" si="14"/>
        <v>1948</v>
      </c>
      <c r="F56" s="159">
        <v>1948</v>
      </c>
      <c r="G56" s="159"/>
      <c r="H56" s="159"/>
      <c r="I56" s="159"/>
      <c r="J56" s="159"/>
      <c r="K56" s="159">
        <f t="shared" si="11"/>
        <v>0</v>
      </c>
      <c r="L56" s="159"/>
      <c r="M56" s="159"/>
      <c r="N56" s="159">
        <f t="shared" si="16"/>
        <v>1955.75</v>
      </c>
      <c r="O56" s="159"/>
      <c r="P56" s="160">
        <f t="shared" si="17"/>
        <v>1955.75</v>
      </c>
      <c r="Q56" s="159">
        <v>1955.75</v>
      </c>
      <c r="R56" s="159"/>
      <c r="S56" s="159"/>
      <c r="T56" s="159"/>
      <c r="U56" s="159">
        <f t="shared" si="18"/>
        <v>0</v>
      </c>
      <c r="V56" s="159"/>
      <c r="W56" s="159"/>
      <c r="X56" s="159"/>
      <c r="Y56" s="159"/>
      <c r="Z56" s="159"/>
      <c r="AA56" s="159"/>
      <c r="AB56" s="161">
        <f t="shared" si="5"/>
        <v>100.39784394250513</v>
      </c>
      <c r="AC56" s="161"/>
      <c r="AD56" s="161">
        <f t="shared" si="7"/>
        <v>100.39784394250513</v>
      </c>
      <c r="AE56" s="161"/>
    </row>
    <row r="57" spans="1:31" s="469" customFormat="1" ht="24.75" customHeight="1">
      <c r="A57" s="162" t="s">
        <v>814</v>
      </c>
      <c r="B57" s="158" t="s">
        <v>396</v>
      </c>
      <c r="C57" s="159">
        <f t="shared" si="13"/>
        <v>2406</v>
      </c>
      <c r="D57" s="159"/>
      <c r="E57" s="159">
        <f t="shared" si="14"/>
        <v>2106</v>
      </c>
      <c r="F57" s="159">
        <v>2106</v>
      </c>
      <c r="G57" s="159"/>
      <c r="H57" s="159"/>
      <c r="I57" s="159"/>
      <c r="J57" s="159"/>
      <c r="K57" s="159">
        <f t="shared" si="11"/>
        <v>300</v>
      </c>
      <c r="L57" s="159"/>
      <c r="M57" s="159">
        <v>300</v>
      </c>
      <c r="N57" s="159">
        <f t="shared" si="16"/>
        <v>2097.7970999999998</v>
      </c>
      <c r="O57" s="159"/>
      <c r="P57" s="160">
        <f t="shared" si="17"/>
        <v>1824.4030999999998</v>
      </c>
      <c r="Q57" s="159">
        <f>2097.7971-273.394</f>
        <v>1824.4030999999998</v>
      </c>
      <c r="R57" s="159"/>
      <c r="S57" s="159"/>
      <c r="T57" s="159"/>
      <c r="U57" s="159">
        <f t="shared" si="18"/>
        <v>273.39400000000001</v>
      </c>
      <c r="V57" s="159"/>
      <c r="W57" s="159">
        <v>273.39400000000001</v>
      </c>
      <c r="X57" s="159"/>
      <c r="Y57" s="159"/>
      <c r="Z57" s="159"/>
      <c r="AA57" s="159"/>
      <c r="AB57" s="161">
        <f t="shared" si="5"/>
        <v>87.190236907730664</v>
      </c>
      <c r="AC57" s="161"/>
      <c r="AD57" s="161">
        <f t="shared" si="7"/>
        <v>86.628827160493827</v>
      </c>
      <c r="AE57" s="161">
        <f t="shared" si="8"/>
        <v>91.13133333333333</v>
      </c>
    </row>
    <row r="58" spans="1:31" s="469" customFormat="1" ht="64.5" customHeight="1">
      <c r="A58" s="157" t="s">
        <v>815</v>
      </c>
      <c r="B58" s="194" t="s">
        <v>1009</v>
      </c>
      <c r="C58" s="159">
        <f t="shared" si="13"/>
        <v>795555.34100000001</v>
      </c>
      <c r="D58" s="159">
        <v>795555.34100000001</v>
      </c>
      <c r="E58" s="159">
        <f t="shared" si="14"/>
        <v>0</v>
      </c>
      <c r="F58" s="159"/>
      <c r="G58" s="159"/>
      <c r="H58" s="159"/>
      <c r="I58" s="159"/>
      <c r="J58" s="159"/>
      <c r="K58" s="159">
        <f t="shared" si="11"/>
        <v>0</v>
      </c>
      <c r="L58" s="159"/>
      <c r="M58" s="159"/>
      <c r="N58" s="159">
        <f t="shared" si="16"/>
        <v>20781</v>
      </c>
      <c r="O58" s="159"/>
      <c r="P58" s="160">
        <f t="shared" si="17"/>
        <v>20781</v>
      </c>
      <c r="Q58" s="159">
        <v>20381</v>
      </c>
      <c r="R58" s="159">
        <v>400</v>
      </c>
      <c r="S58" s="159"/>
      <c r="T58" s="159"/>
      <c r="U58" s="159">
        <f t="shared" si="18"/>
        <v>0</v>
      </c>
      <c r="V58" s="159"/>
      <c r="W58" s="159"/>
      <c r="X58" s="159"/>
      <c r="Y58" s="159"/>
      <c r="Z58" s="159"/>
      <c r="AA58" s="159"/>
      <c r="AB58" s="161"/>
      <c r="AC58" s="161">
        <f t="shared" si="15"/>
        <v>0</v>
      </c>
      <c r="AD58" s="161"/>
      <c r="AE58" s="161"/>
    </row>
    <row r="59" spans="1:31" s="469" customFormat="1" ht="24.75" customHeight="1">
      <c r="A59" s="162" t="s">
        <v>816</v>
      </c>
      <c r="B59" s="163" t="s">
        <v>875</v>
      </c>
      <c r="C59" s="159">
        <f t="shared" si="13"/>
        <v>208</v>
      </c>
      <c r="D59" s="159"/>
      <c r="E59" s="159">
        <f t="shared" si="14"/>
        <v>208</v>
      </c>
      <c r="F59" s="159">
        <v>208</v>
      </c>
      <c r="G59" s="159"/>
      <c r="H59" s="159"/>
      <c r="I59" s="159"/>
      <c r="J59" s="159"/>
      <c r="K59" s="159">
        <f t="shared" si="11"/>
        <v>0</v>
      </c>
      <c r="L59" s="159"/>
      <c r="M59" s="159"/>
      <c r="N59" s="159">
        <f t="shared" si="16"/>
        <v>0</v>
      </c>
      <c r="O59" s="159"/>
      <c r="P59" s="160">
        <f t="shared" si="17"/>
        <v>0</v>
      </c>
      <c r="Q59" s="159"/>
      <c r="R59" s="159"/>
      <c r="S59" s="159"/>
      <c r="T59" s="159"/>
      <c r="U59" s="159">
        <f t="shared" si="18"/>
        <v>0</v>
      </c>
      <c r="V59" s="159"/>
      <c r="W59" s="159"/>
      <c r="X59" s="159"/>
      <c r="Y59" s="159"/>
      <c r="Z59" s="159"/>
      <c r="AA59" s="159"/>
      <c r="AB59" s="161">
        <f t="shared" si="5"/>
        <v>0</v>
      </c>
      <c r="AC59" s="161"/>
      <c r="AD59" s="161">
        <f t="shared" si="7"/>
        <v>0</v>
      </c>
      <c r="AE59" s="161"/>
    </row>
    <row r="60" spans="1:31" s="469" customFormat="1" ht="24.75" customHeight="1">
      <c r="A60" s="157" t="s">
        <v>817</v>
      </c>
      <c r="B60" s="163" t="s">
        <v>876</v>
      </c>
      <c r="C60" s="159">
        <f t="shared" si="13"/>
        <v>120</v>
      </c>
      <c r="D60" s="159"/>
      <c r="E60" s="159">
        <f t="shared" si="14"/>
        <v>120</v>
      </c>
      <c r="F60" s="159">
        <v>120</v>
      </c>
      <c r="G60" s="159"/>
      <c r="H60" s="159"/>
      <c r="I60" s="159"/>
      <c r="J60" s="159"/>
      <c r="K60" s="159">
        <f t="shared" si="11"/>
        <v>0</v>
      </c>
      <c r="L60" s="159"/>
      <c r="M60" s="159"/>
      <c r="N60" s="159">
        <f t="shared" si="16"/>
        <v>0</v>
      </c>
      <c r="O60" s="159"/>
      <c r="P60" s="160">
        <f t="shared" si="17"/>
        <v>0</v>
      </c>
      <c r="Q60" s="159"/>
      <c r="R60" s="159"/>
      <c r="S60" s="159"/>
      <c r="T60" s="159"/>
      <c r="U60" s="159">
        <f t="shared" si="18"/>
        <v>0</v>
      </c>
      <c r="V60" s="159"/>
      <c r="W60" s="159"/>
      <c r="X60" s="159"/>
      <c r="Y60" s="159"/>
      <c r="Z60" s="159"/>
      <c r="AA60" s="159"/>
      <c r="AB60" s="161">
        <f t="shared" si="5"/>
        <v>0</v>
      </c>
      <c r="AC60" s="161"/>
      <c r="AD60" s="161">
        <f t="shared" si="7"/>
        <v>0</v>
      </c>
      <c r="AE60" s="161"/>
    </row>
    <row r="61" spans="1:31" s="469" customFormat="1" ht="24.75" customHeight="1">
      <c r="A61" s="162" t="s">
        <v>818</v>
      </c>
      <c r="B61" s="163" t="s">
        <v>877</v>
      </c>
      <c r="C61" s="159">
        <f t="shared" si="13"/>
        <v>100</v>
      </c>
      <c r="D61" s="159"/>
      <c r="E61" s="159">
        <f t="shared" si="14"/>
        <v>100</v>
      </c>
      <c r="F61" s="159">
        <v>100</v>
      </c>
      <c r="G61" s="159"/>
      <c r="H61" s="159"/>
      <c r="I61" s="159"/>
      <c r="J61" s="159"/>
      <c r="K61" s="159">
        <f t="shared" si="11"/>
        <v>0</v>
      </c>
      <c r="L61" s="159"/>
      <c r="M61" s="159"/>
      <c r="N61" s="159">
        <f t="shared" si="16"/>
        <v>168</v>
      </c>
      <c r="O61" s="159"/>
      <c r="P61" s="160">
        <f t="shared" si="17"/>
        <v>168</v>
      </c>
      <c r="Q61" s="159"/>
      <c r="R61" s="159">
        <v>168</v>
      </c>
      <c r="S61" s="159"/>
      <c r="T61" s="159"/>
      <c r="U61" s="159">
        <f t="shared" si="18"/>
        <v>0</v>
      </c>
      <c r="V61" s="159"/>
      <c r="W61" s="159"/>
      <c r="X61" s="159"/>
      <c r="Y61" s="159"/>
      <c r="Z61" s="159"/>
      <c r="AA61" s="159"/>
      <c r="AB61" s="161">
        <f t="shared" si="5"/>
        <v>168</v>
      </c>
      <c r="AC61" s="161"/>
      <c r="AD61" s="161">
        <f t="shared" si="7"/>
        <v>168</v>
      </c>
      <c r="AE61" s="161"/>
    </row>
    <row r="62" spans="1:31" s="469" customFormat="1" ht="24.75" customHeight="1">
      <c r="A62" s="157" t="s">
        <v>819</v>
      </c>
      <c r="B62" s="194" t="s">
        <v>880</v>
      </c>
      <c r="C62" s="159">
        <f t="shared" si="13"/>
        <v>0</v>
      </c>
      <c r="D62" s="159"/>
      <c r="E62" s="159">
        <f t="shared" si="14"/>
        <v>0</v>
      </c>
      <c r="F62" s="159"/>
      <c r="G62" s="159"/>
      <c r="H62" s="159"/>
      <c r="I62" s="159"/>
      <c r="J62" s="159"/>
      <c r="K62" s="159">
        <f t="shared" si="11"/>
        <v>0</v>
      </c>
      <c r="L62" s="159"/>
      <c r="M62" s="159"/>
      <c r="N62" s="159">
        <f t="shared" si="16"/>
        <v>6</v>
      </c>
      <c r="O62" s="159"/>
      <c r="P62" s="160">
        <f t="shared" si="17"/>
        <v>6</v>
      </c>
      <c r="Q62" s="159">
        <v>6</v>
      </c>
      <c r="R62" s="159"/>
      <c r="S62" s="159"/>
      <c r="T62" s="159"/>
      <c r="U62" s="159">
        <f t="shared" si="18"/>
        <v>0</v>
      </c>
      <c r="V62" s="159"/>
      <c r="W62" s="159"/>
      <c r="X62" s="159"/>
      <c r="Y62" s="159"/>
      <c r="Z62" s="159"/>
      <c r="AA62" s="159"/>
      <c r="AB62" s="161"/>
      <c r="AC62" s="161"/>
      <c r="AD62" s="161"/>
      <c r="AE62" s="161"/>
    </row>
    <row r="63" spans="1:31" s="469" customFormat="1" ht="38.25" customHeight="1">
      <c r="A63" s="162" t="s">
        <v>820</v>
      </c>
      <c r="B63" s="194" t="s">
        <v>881</v>
      </c>
      <c r="C63" s="159">
        <f t="shared" si="13"/>
        <v>92</v>
      </c>
      <c r="D63" s="159"/>
      <c r="E63" s="159">
        <f t="shared" si="14"/>
        <v>92</v>
      </c>
      <c r="F63" s="159">
        <v>92</v>
      </c>
      <c r="G63" s="159"/>
      <c r="H63" s="159"/>
      <c r="I63" s="159"/>
      <c r="J63" s="159"/>
      <c r="K63" s="159">
        <f t="shared" si="11"/>
        <v>0</v>
      </c>
      <c r="L63" s="159"/>
      <c r="M63" s="159"/>
      <c r="N63" s="159">
        <f t="shared" si="16"/>
        <v>65</v>
      </c>
      <c r="O63" s="159"/>
      <c r="P63" s="160">
        <f t="shared" si="17"/>
        <v>65</v>
      </c>
      <c r="Q63" s="159">
        <v>65</v>
      </c>
      <c r="R63" s="159"/>
      <c r="S63" s="159"/>
      <c r="T63" s="159"/>
      <c r="U63" s="159">
        <f t="shared" si="18"/>
        <v>0</v>
      </c>
      <c r="V63" s="159"/>
      <c r="W63" s="159"/>
      <c r="X63" s="159"/>
      <c r="Y63" s="159"/>
      <c r="Z63" s="159"/>
      <c r="AA63" s="159"/>
      <c r="AB63" s="161">
        <f t="shared" si="5"/>
        <v>70.65217391304347</v>
      </c>
      <c r="AC63" s="161"/>
      <c r="AD63" s="161">
        <f t="shared" si="7"/>
        <v>70.65217391304347</v>
      </c>
      <c r="AE63" s="161"/>
    </row>
    <row r="64" spans="1:31" s="469" customFormat="1" ht="45.75" customHeight="1">
      <c r="A64" s="157" t="s">
        <v>821</v>
      </c>
      <c r="B64" s="194" t="s">
        <v>823</v>
      </c>
      <c r="C64" s="159">
        <f t="shared" si="13"/>
        <v>4090</v>
      </c>
      <c r="D64" s="159">
        <v>4090</v>
      </c>
      <c r="E64" s="159">
        <f t="shared" si="14"/>
        <v>0</v>
      </c>
      <c r="F64" s="159"/>
      <c r="G64" s="159"/>
      <c r="H64" s="159"/>
      <c r="I64" s="159"/>
      <c r="J64" s="159"/>
      <c r="K64" s="159">
        <f t="shared" si="11"/>
        <v>0</v>
      </c>
      <c r="L64" s="159"/>
      <c r="M64" s="159"/>
      <c r="N64" s="159">
        <f t="shared" si="16"/>
        <v>11301.775888</v>
      </c>
      <c r="O64" s="159">
        <v>11301.775888</v>
      </c>
      <c r="P64" s="160">
        <f t="shared" si="17"/>
        <v>0</v>
      </c>
      <c r="Q64" s="159"/>
      <c r="R64" s="159"/>
      <c r="S64" s="159"/>
      <c r="T64" s="159"/>
      <c r="U64" s="159">
        <f t="shared" si="18"/>
        <v>0</v>
      </c>
      <c r="V64" s="159"/>
      <c r="W64" s="159"/>
      <c r="X64" s="159"/>
      <c r="Y64" s="159"/>
      <c r="Z64" s="159"/>
      <c r="AA64" s="159"/>
      <c r="AB64" s="161"/>
      <c r="AC64" s="161">
        <f t="shared" si="15"/>
        <v>276.3270388264059</v>
      </c>
      <c r="AD64" s="161"/>
      <c r="AE64" s="161"/>
    </row>
    <row r="65" spans="1:31" s="469" customFormat="1" ht="24.75" customHeight="1">
      <c r="A65" s="162" t="s">
        <v>822</v>
      </c>
      <c r="B65" s="194" t="s">
        <v>505</v>
      </c>
      <c r="C65" s="159">
        <f t="shared" si="13"/>
        <v>55406</v>
      </c>
      <c r="D65" s="159">
        <v>53261</v>
      </c>
      <c r="E65" s="159">
        <f t="shared" si="14"/>
        <v>2145</v>
      </c>
      <c r="F65" s="159"/>
      <c r="G65" s="159"/>
      <c r="H65" s="159">
        <v>2145</v>
      </c>
      <c r="I65" s="159"/>
      <c r="J65" s="159"/>
      <c r="K65" s="159">
        <f t="shared" si="11"/>
        <v>0</v>
      </c>
      <c r="L65" s="159"/>
      <c r="M65" s="159"/>
      <c r="N65" s="159">
        <f t="shared" si="16"/>
        <v>113014.33151500001</v>
      </c>
      <c r="O65" s="159">
        <v>84123.53151500001</v>
      </c>
      <c r="P65" s="160">
        <f t="shared" si="17"/>
        <v>28890.799999999999</v>
      </c>
      <c r="Q65" s="159">
        <v>28890.799999999999</v>
      </c>
      <c r="R65" s="159"/>
      <c r="S65" s="159"/>
      <c r="T65" s="159"/>
      <c r="U65" s="159">
        <f t="shared" si="18"/>
        <v>0</v>
      </c>
      <c r="V65" s="159"/>
      <c r="W65" s="159"/>
      <c r="X65" s="159"/>
      <c r="Y65" s="159"/>
      <c r="Z65" s="159"/>
      <c r="AA65" s="159"/>
      <c r="AB65" s="161"/>
      <c r="AC65" s="161">
        <f t="shared" si="15"/>
        <v>157.94583563019847</v>
      </c>
      <c r="AD65" s="161"/>
      <c r="AE65" s="161"/>
    </row>
    <row r="66" spans="1:31" s="469" customFormat="1" ht="24.75" customHeight="1">
      <c r="A66" s="157" t="s">
        <v>824</v>
      </c>
      <c r="B66" s="232" t="s">
        <v>307</v>
      </c>
      <c r="C66" s="159">
        <f t="shared" si="13"/>
        <v>407278.772</v>
      </c>
      <c r="D66" s="159">
        <v>407278.772</v>
      </c>
      <c r="E66" s="159">
        <f t="shared" si="14"/>
        <v>0</v>
      </c>
      <c r="F66" s="159"/>
      <c r="G66" s="159"/>
      <c r="H66" s="159"/>
      <c r="I66" s="159"/>
      <c r="J66" s="159"/>
      <c r="K66" s="159">
        <f t="shared" si="11"/>
        <v>0</v>
      </c>
      <c r="L66" s="159"/>
      <c r="M66" s="159"/>
      <c r="N66" s="159">
        <f t="shared" si="16"/>
        <v>703179.33624099998</v>
      </c>
      <c r="O66" s="159">
        <v>703179.33624099998</v>
      </c>
      <c r="P66" s="160">
        <f t="shared" si="17"/>
        <v>0</v>
      </c>
      <c r="Q66" s="159"/>
      <c r="R66" s="159"/>
      <c r="S66" s="159"/>
      <c r="T66" s="159"/>
      <c r="U66" s="159">
        <f t="shared" si="18"/>
        <v>0</v>
      </c>
      <c r="V66" s="159"/>
      <c r="W66" s="159"/>
      <c r="X66" s="159"/>
      <c r="Y66" s="159"/>
      <c r="Z66" s="159"/>
      <c r="AA66" s="159"/>
      <c r="AB66" s="161"/>
      <c r="AC66" s="161">
        <f t="shared" si="15"/>
        <v>172.65307808406965</v>
      </c>
      <c r="AD66" s="161"/>
      <c r="AE66" s="161"/>
    </row>
    <row r="67" spans="1:31" s="469" customFormat="1" ht="24.75" customHeight="1">
      <c r="A67" s="162" t="s">
        <v>825</v>
      </c>
      <c r="B67" s="194" t="s">
        <v>494</v>
      </c>
      <c r="C67" s="159">
        <f t="shared" si="13"/>
        <v>57034.191999999995</v>
      </c>
      <c r="D67" s="159">
        <v>57034.191999999995</v>
      </c>
      <c r="E67" s="159">
        <f t="shared" si="14"/>
        <v>0</v>
      </c>
      <c r="F67" s="159"/>
      <c r="G67" s="159"/>
      <c r="H67" s="159"/>
      <c r="I67" s="159"/>
      <c r="J67" s="159"/>
      <c r="K67" s="159">
        <f t="shared" si="11"/>
        <v>0</v>
      </c>
      <c r="L67" s="159"/>
      <c r="M67" s="159"/>
      <c r="N67" s="159">
        <f t="shared" si="16"/>
        <v>65726.881714000003</v>
      </c>
      <c r="O67" s="159">
        <v>65726.881714000003</v>
      </c>
      <c r="P67" s="160">
        <f t="shared" si="17"/>
        <v>0</v>
      </c>
      <c r="Q67" s="159"/>
      <c r="R67" s="159"/>
      <c r="S67" s="159"/>
      <c r="T67" s="159"/>
      <c r="U67" s="159">
        <f t="shared" si="18"/>
        <v>0</v>
      </c>
      <c r="V67" s="159"/>
      <c r="W67" s="159"/>
      <c r="X67" s="159"/>
      <c r="Y67" s="159"/>
      <c r="Z67" s="159"/>
      <c r="AA67" s="159"/>
      <c r="AB67" s="161"/>
      <c r="AC67" s="161">
        <f t="shared" si="15"/>
        <v>115.24119025653945</v>
      </c>
      <c r="AD67" s="161"/>
      <c r="AE67" s="161"/>
    </row>
    <row r="68" spans="1:31" s="469" customFormat="1" ht="38.25" customHeight="1">
      <c r="A68" s="157" t="s">
        <v>826</v>
      </c>
      <c r="B68" s="194" t="s">
        <v>1003</v>
      </c>
      <c r="C68" s="159">
        <f t="shared" si="13"/>
        <v>2000.001</v>
      </c>
      <c r="D68" s="159">
        <v>2000.001</v>
      </c>
      <c r="E68" s="159">
        <f t="shared" si="14"/>
        <v>0</v>
      </c>
      <c r="F68" s="159"/>
      <c r="G68" s="159"/>
      <c r="H68" s="159"/>
      <c r="I68" s="159"/>
      <c r="J68" s="159"/>
      <c r="K68" s="159">
        <f t="shared" si="11"/>
        <v>0</v>
      </c>
      <c r="L68" s="159"/>
      <c r="M68" s="159"/>
      <c r="N68" s="159">
        <f t="shared" si="16"/>
        <v>2201.6806160000001</v>
      </c>
      <c r="O68" s="159">
        <v>2201.6806160000001</v>
      </c>
      <c r="P68" s="160">
        <f t="shared" si="17"/>
        <v>0</v>
      </c>
      <c r="Q68" s="159"/>
      <c r="R68" s="159"/>
      <c r="S68" s="159"/>
      <c r="T68" s="159"/>
      <c r="U68" s="159">
        <f t="shared" si="18"/>
        <v>0</v>
      </c>
      <c r="V68" s="159"/>
      <c r="W68" s="159"/>
      <c r="X68" s="159"/>
      <c r="Y68" s="159"/>
      <c r="Z68" s="159"/>
      <c r="AA68" s="159"/>
      <c r="AB68" s="161"/>
      <c r="AC68" s="161">
        <f t="shared" si="15"/>
        <v>110.08397575801213</v>
      </c>
      <c r="AD68" s="161"/>
      <c r="AE68" s="161"/>
    </row>
    <row r="69" spans="1:31" s="469" customFormat="1" ht="34.5" customHeight="1">
      <c r="A69" s="162" t="s">
        <v>827</v>
      </c>
      <c r="B69" s="195" t="s">
        <v>1002</v>
      </c>
      <c r="C69" s="159">
        <f t="shared" si="13"/>
        <v>0</v>
      </c>
      <c r="D69" s="159"/>
      <c r="E69" s="159">
        <f t="shared" si="14"/>
        <v>0</v>
      </c>
      <c r="F69" s="159"/>
      <c r="G69" s="159"/>
      <c r="H69" s="159"/>
      <c r="I69" s="159"/>
      <c r="J69" s="159"/>
      <c r="K69" s="159">
        <f t="shared" si="11"/>
        <v>0</v>
      </c>
      <c r="L69" s="159"/>
      <c r="M69" s="159"/>
      <c r="N69" s="159">
        <f t="shared" si="16"/>
        <v>3674.9975709999999</v>
      </c>
      <c r="O69" s="159">
        <v>3674.9975709999999</v>
      </c>
      <c r="P69" s="160">
        <f t="shared" si="17"/>
        <v>0</v>
      </c>
      <c r="Q69" s="159"/>
      <c r="R69" s="159"/>
      <c r="S69" s="159"/>
      <c r="T69" s="159"/>
      <c r="U69" s="159">
        <f t="shared" si="18"/>
        <v>0</v>
      </c>
      <c r="V69" s="159"/>
      <c r="W69" s="159"/>
      <c r="X69" s="159"/>
      <c r="Y69" s="159"/>
      <c r="Z69" s="159"/>
      <c r="AA69" s="159"/>
      <c r="AB69" s="161"/>
      <c r="AC69" s="161"/>
      <c r="AD69" s="161"/>
      <c r="AE69" s="161"/>
    </row>
    <row r="70" spans="1:31" s="469" customFormat="1" ht="39.75" customHeight="1">
      <c r="A70" s="157" t="s">
        <v>828</v>
      </c>
      <c r="B70" s="233" t="s">
        <v>1004</v>
      </c>
      <c r="C70" s="159">
        <f t="shared" si="13"/>
        <v>11342</v>
      </c>
      <c r="D70" s="159"/>
      <c r="E70" s="159">
        <f t="shared" si="14"/>
        <v>11342</v>
      </c>
      <c r="F70" s="159"/>
      <c r="G70" s="159"/>
      <c r="H70" s="159">
        <v>11342</v>
      </c>
      <c r="I70" s="159"/>
      <c r="J70" s="159"/>
      <c r="K70" s="159">
        <f t="shared" si="11"/>
        <v>0</v>
      </c>
      <c r="L70" s="159"/>
      <c r="M70" s="159"/>
      <c r="N70" s="159">
        <f t="shared" si="16"/>
        <v>5000</v>
      </c>
      <c r="O70" s="159">
        <v>5000</v>
      </c>
      <c r="P70" s="160">
        <f t="shared" si="17"/>
        <v>0</v>
      </c>
      <c r="Q70" s="159"/>
      <c r="R70" s="159"/>
      <c r="S70" s="159"/>
      <c r="T70" s="159"/>
      <c r="U70" s="159">
        <f t="shared" si="18"/>
        <v>0</v>
      </c>
      <c r="V70" s="159"/>
      <c r="W70" s="159"/>
      <c r="X70" s="159"/>
      <c r="Y70" s="159"/>
      <c r="Z70" s="159"/>
      <c r="AA70" s="159"/>
      <c r="AB70" s="161"/>
      <c r="AC70" s="161"/>
      <c r="AD70" s="161"/>
      <c r="AE70" s="161"/>
    </row>
    <row r="71" spans="1:31" s="469" customFormat="1" ht="41.25" customHeight="1">
      <c r="A71" s="162" t="s">
        <v>829</v>
      </c>
      <c r="B71" s="194" t="s">
        <v>1007</v>
      </c>
      <c r="C71" s="159">
        <f t="shared" si="13"/>
        <v>0</v>
      </c>
      <c r="D71" s="159"/>
      <c r="E71" s="159">
        <f t="shared" si="14"/>
        <v>0</v>
      </c>
      <c r="F71" s="159"/>
      <c r="G71" s="159"/>
      <c r="H71" s="159"/>
      <c r="I71" s="159"/>
      <c r="J71" s="159"/>
      <c r="K71" s="159">
        <f t="shared" si="11"/>
        <v>0</v>
      </c>
      <c r="L71" s="159"/>
      <c r="M71" s="159"/>
      <c r="N71" s="159">
        <f t="shared" si="16"/>
        <v>3520.0270000000005</v>
      </c>
      <c r="O71" s="159">
        <v>3520.0270000000005</v>
      </c>
      <c r="P71" s="160">
        <f t="shared" si="17"/>
        <v>0</v>
      </c>
      <c r="Q71" s="159"/>
      <c r="R71" s="159"/>
      <c r="S71" s="159"/>
      <c r="T71" s="159"/>
      <c r="U71" s="159">
        <f t="shared" si="18"/>
        <v>0</v>
      </c>
      <c r="V71" s="159"/>
      <c r="W71" s="159"/>
      <c r="X71" s="159"/>
      <c r="Y71" s="159"/>
      <c r="Z71" s="159"/>
      <c r="AA71" s="159"/>
      <c r="AB71" s="161"/>
      <c r="AC71" s="161"/>
      <c r="AD71" s="161"/>
      <c r="AE71" s="161"/>
    </row>
    <row r="72" spans="1:31" s="469" customFormat="1" ht="41.25" customHeight="1">
      <c r="A72" s="157" t="s">
        <v>830</v>
      </c>
      <c r="B72" s="194" t="s">
        <v>936</v>
      </c>
      <c r="C72" s="159">
        <f t="shared" si="13"/>
        <v>6000</v>
      </c>
      <c r="D72" s="159">
        <v>6000</v>
      </c>
      <c r="E72" s="159">
        <f t="shared" si="14"/>
        <v>0</v>
      </c>
      <c r="F72" s="159"/>
      <c r="G72" s="159"/>
      <c r="H72" s="159"/>
      <c r="I72" s="159"/>
      <c r="J72" s="159"/>
      <c r="K72" s="159">
        <f t="shared" si="11"/>
        <v>0</v>
      </c>
      <c r="L72" s="159"/>
      <c r="M72" s="159"/>
      <c r="N72" s="159">
        <f t="shared" si="16"/>
        <v>5935.0619999999999</v>
      </c>
      <c r="O72" s="159">
        <v>5935.0619999999999</v>
      </c>
      <c r="P72" s="160">
        <f t="shared" si="17"/>
        <v>0</v>
      </c>
      <c r="Q72" s="159"/>
      <c r="R72" s="159"/>
      <c r="S72" s="159"/>
      <c r="T72" s="159"/>
      <c r="U72" s="159">
        <f t="shared" si="18"/>
        <v>0</v>
      </c>
      <c r="V72" s="159"/>
      <c r="W72" s="159"/>
      <c r="X72" s="159"/>
      <c r="Y72" s="159"/>
      <c r="Z72" s="159"/>
      <c r="AA72" s="159"/>
      <c r="AB72" s="161"/>
      <c r="AC72" s="161">
        <f t="shared" si="15"/>
        <v>98.917699999999996</v>
      </c>
      <c r="AD72" s="161"/>
      <c r="AE72" s="161"/>
    </row>
    <row r="73" spans="1:31" s="469" customFormat="1" ht="39.75" customHeight="1">
      <c r="A73" s="162" t="s">
        <v>831</v>
      </c>
      <c r="B73" s="194" t="s">
        <v>845</v>
      </c>
      <c r="C73" s="159">
        <f t="shared" si="13"/>
        <v>0</v>
      </c>
      <c r="D73" s="159"/>
      <c r="E73" s="159">
        <f t="shared" si="14"/>
        <v>0</v>
      </c>
      <c r="F73" s="159"/>
      <c r="G73" s="159"/>
      <c r="H73" s="159"/>
      <c r="I73" s="159"/>
      <c r="J73" s="159"/>
      <c r="K73" s="159">
        <f t="shared" si="11"/>
        <v>0</v>
      </c>
      <c r="L73" s="159"/>
      <c r="M73" s="159"/>
      <c r="N73" s="159">
        <f t="shared" si="16"/>
        <v>7820</v>
      </c>
      <c r="O73" s="159">
        <v>7820</v>
      </c>
      <c r="P73" s="160">
        <f t="shared" si="17"/>
        <v>0</v>
      </c>
      <c r="Q73" s="159"/>
      <c r="R73" s="159"/>
      <c r="S73" s="159"/>
      <c r="T73" s="159"/>
      <c r="U73" s="159">
        <f t="shared" si="18"/>
        <v>0</v>
      </c>
      <c r="V73" s="159"/>
      <c r="W73" s="159"/>
      <c r="X73" s="159"/>
      <c r="Y73" s="159"/>
      <c r="Z73" s="159"/>
      <c r="AA73" s="159"/>
      <c r="AB73" s="161"/>
      <c r="AC73" s="161"/>
      <c r="AD73" s="161"/>
      <c r="AE73" s="161"/>
    </row>
    <row r="74" spans="1:31" s="469" customFormat="1" ht="24.75" customHeight="1">
      <c r="A74" s="157" t="s">
        <v>832</v>
      </c>
      <c r="B74" s="194" t="s">
        <v>838</v>
      </c>
      <c r="C74" s="159">
        <f t="shared" ref="C74:C116" si="24">D74+E74+I74+J74+K74</f>
        <v>0</v>
      </c>
      <c r="D74" s="159"/>
      <c r="E74" s="159">
        <f t="shared" ref="E74:E90" si="25">F74+G74+H74</f>
        <v>0</v>
      </c>
      <c r="F74" s="159"/>
      <c r="G74" s="159"/>
      <c r="H74" s="159"/>
      <c r="I74" s="159"/>
      <c r="J74" s="159"/>
      <c r="K74" s="159">
        <f t="shared" ref="K74:K116" si="26">L74+M74</f>
        <v>0</v>
      </c>
      <c r="L74" s="159"/>
      <c r="M74" s="159"/>
      <c r="N74" s="159">
        <f t="shared" ref="N74:N90" si="27">O74+P74+S74+T74+U74</f>
        <v>25.413</v>
      </c>
      <c r="O74" s="159">
        <v>25.413</v>
      </c>
      <c r="P74" s="160">
        <f t="shared" si="17"/>
        <v>0</v>
      </c>
      <c r="Q74" s="159"/>
      <c r="R74" s="159"/>
      <c r="S74" s="159"/>
      <c r="T74" s="159"/>
      <c r="U74" s="159">
        <f t="shared" si="18"/>
        <v>0</v>
      </c>
      <c r="V74" s="159"/>
      <c r="W74" s="159"/>
      <c r="X74" s="159"/>
      <c r="Y74" s="159"/>
      <c r="Z74" s="159"/>
      <c r="AA74" s="159"/>
      <c r="AB74" s="161"/>
      <c r="AC74" s="161"/>
      <c r="AD74" s="161"/>
      <c r="AE74" s="161"/>
    </row>
    <row r="75" spans="1:31" s="469" customFormat="1" ht="43.5" customHeight="1">
      <c r="A75" s="162" t="s">
        <v>833</v>
      </c>
      <c r="B75" s="194" t="s">
        <v>1005</v>
      </c>
      <c r="C75" s="159">
        <f t="shared" si="24"/>
        <v>0</v>
      </c>
      <c r="D75" s="159"/>
      <c r="E75" s="159">
        <f t="shared" si="25"/>
        <v>0</v>
      </c>
      <c r="F75" s="159"/>
      <c r="G75" s="159"/>
      <c r="H75" s="159"/>
      <c r="I75" s="159"/>
      <c r="J75" s="159"/>
      <c r="K75" s="159">
        <f t="shared" si="26"/>
        <v>0</v>
      </c>
      <c r="L75" s="159"/>
      <c r="M75" s="159"/>
      <c r="N75" s="159">
        <f t="shared" si="27"/>
        <v>1294.7341339999998</v>
      </c>
      <c r="O75" s="159">
        <v>1294.7341339999998</v>
      </c>
      <c r="P75" s="160">
        <f t="shared" ref="P75:P90" si="28">Q75+R75</f>
        <v>0</v>
      </c>
      <c r="Q75" s="159"/>
      <c r="R75" s="159"/>
      <c r="S75" s="159"/>
      <c r="T75" s="159"/>
      <c r="U75" s="159">
        <f t="shared" si="18"/>
        <v>0</v>
      </c>
      <c r="V75" s="159"/>
      <c r="W75" s="159"/>
      <c r="X75" s="159"/>
      <c r="Y75" s="159"/>
      <c r="Z75" s="159"/>
      <c r="AA75" s="159"/>
      <c r="AB75" s="161"/>
      <c r="AC75" s="161"/>
      <c r="AD75" s="161"/>
      <c r="AE75" s="161"/>
    </row>
    <row r="76" spans="1:31" s="469" customFormat="1" ht="32.25" customHeight="1">
      <c r="A76" s="157" t="s">
        <v>834</v>
      </c>
      <c r="B76" s="194" t="s">
        <v>841</v>
      </c>
      <c r="C76" s="159">
        <f t="shared" si="24"/>
        <v>25509.671999999999</v>
      </c>
      <c r="D76" s="159">
        <v>25509.671999999999</v>
      </c>
      <c r="E76" s="159">
        <f t="shared" si="25"/>
        <v>0</v>
      </c>
      <c r="F76" s="159"/>
      <c r="G76" s="159"/>
      <c r="H76" s="159"/>
      <c r="I76" s="159"/>
      <c r="J76" s="159"/>
      <c r="K76" s="159">
        <f t="shared" si="26"/>
        <v>0</v>
      </c>
      <c r="L76" s="159"/>
      <c r="M76" s="159"/>
      <c r="N76" s="159">
        <f t="shared" si="27"/>
        <v>31343.548643999999</v>
      </c>
      <c r="O76" s="159">
        <v>31343.548643999999</v>
      </c>
      <c r="P76" s="160">
        <f t="shared" si="28"/>
        <v>0</v>
      </c>
      <c r="Q76" s="159"/>
      <c r="R76" s="159"/>
      <c r="S76" s="159"/>
      <c r="T76" s="159"/>
      <c r="U76" s="159">
        <f t="shared" si="18"/>
        <v>0</v>
      </c>
      <c r="V76" s="159"/>
      <c r="W76" s="159"/>
      <c r="X76" s="159"/>
      <c r="Y76" s="159"/>
      <c r="Z76" s="159"/>
      <c r="AA76" s="159"/>
      <c r="AB76" s="161"/>
      <c r="AC76" s="161">
        <f t="shared" si="15"/>
        <v>122.86927344263776</v>
      </c>
      <c r="AD76" s="161"/>
      <c r="AE76" s="161"/>
    </row>
    <row r="77" spans="1:31" s="469" customFormat="1" ht="42" customHeight="1">
      <c r="A77" s="162" t="s">
        <v>835</v>
      </c>
      <c r="B77" s="194" t="s">
        <v>843</v>
      </c>
      <c r="C77" s="159">
        <f t="shared" si="24"/>
        <v>185591</v>
      </c>
      <c r="D77" s="159">
        <v>185591</v>
      </c>
      <c r="E77" s="159">
        <f t="shared" si="25"/>
        <v>0</v>
      </c>
      <c r="F77" s="159"/>
      <c r="G77" s="159"/>
      <c r="H77" s="159"/>
      <c r="I77" s="159"/>
      <c r="J77" s="159"/>
      <c r="K77" s="159">
        <f t="shared" si="26"/>
        <v>0</v>
      </c>
      <c r="L77" s="159"/>
      <c r="M77" s="159"/>
      <c r="N77" s="159">
        <f t="shared" si="27"/>
        <v>43591.076178000003</v>
      </c>
      <c r="O77" s="159">
        <v>43591.076178000003</v>
      </c>
      <c r="P77" s="160">
        <f t="shared" si="28"/>
        <v>0</v>
      </c>
      <c r="Q77" s="159"/>
      <c r="R77" s="159"/>
      <c r="S77" s="159"/>
      <c r="T77" s="159"/>
      <c r="U77" s="159">
        <f t="shared" si="18"/>
        <v>0</v>
      </c>
      <c r="V77" s="159"/>
      <c r="W77" s="159"/>
      <c r="X77" s="159"/>
      <c r="Y77" s="159"/>
      <c r="Z77" s="159"/>
      <c r="AA77" s="159"/>
      <c r="AB77" s="161"/>
      <c r="AC77" s="161">
        <f t="shared" si="15"/>
        <v>23.48771016805772</v>
      </c>
      <c r="AD77" s="161"/>
      <c r="AE77" s="161"/>
    </row>
    <row r="78" spans="1:31" s="469" customFormat="1" ht="24.75" customHeight="1">
      <c r="A78" s="157" t="s">
        <v>836</v>
      </c>
      <c r="B78" s="194" t="s">
        <v>1008</v>
      </c>
      <c r="C78" s="159">
        <f t="shared" si="24"/>
        <v>45523.284</v>
      </c>
      <c r="D78" s="159">
        <v>45523.284</v>
      </c>
      <c r="E78" s="159">
        <f t="shared" si="25"/>
        <v>0</v>
      </c>
      <c r="F78" s="159"/>
      <c r="G78" s="159"/>
      <c r="H78" s="159"/>
      <c r="I78" s="159"/>
      <c r="J78" s="159"/>
      <c r="K78" s="159">
        <f t="shared" si="26"/>
        <v>0</v>
      </c>
      <c r="L78" s="159"/>
      <c r="M78" s="159"/>
      <c r="N78" s="159">
        <f t="shared" si="27"/>
        <v>39348.176610000002</v>
      </c>
      <c r="O78" s="159">
        <v>39348.176610000002</v>
      </c>
      <c r="P78" s="160">
        <f t="shared" si="28"/>
        <v>0</v>
      </c>
      <c r="Q78" s="159"/>
      <c r="R78" s="159"/>
      <c r="S78" s="159"/>
      <c r="T78" s="159"/>
      <c r="U78" s="159">
        <f t="shared" si="18"/>
        <v>0</v>
      </c>
      <c r="V78" s="159"/>
      <c r="W78" s="159"/>
      <c r="X78" s="159"/>
      <c r="Y78" s="159"/>
      <c r="Z78" s="159"/>
      <c r="AA78" s="159"/>
      <c r="AB78" s="161"/>
      <c r="AC78" s="161">
        <f t="shared" si="15"/>
        <v>86.435276967276792</v>
      </c>
      <c r="AD78" s="161"/>
      <c r="AE78" s="161"/>
    </row>
    <row r="79" spans="1:31" s="469" customFormat="1" ht="24.75" customHeight="1">
      <c r="A79" s="162" t="s">
        <v>837</v>
      </c>
      <c r="B79" s="194" t="s">
        <v>1006</v>
      </c>
      <c r="C79" s="159">
        <f t="shared" si="24"/>
        <v>0</v>
      </c>
      <c r="D79" s="159"/>
      <c r="E79" s="159">
        <f t="shared" si="25"/>
        <v>0</v>
      </c>
      <c r="F79" s="159"/>
      <c r="G79" s="159"/>
      <c r="H79" s="159"/>
      <c r="I79" s="159"/>
      <c r="J79" s="159"/>
      <c r="K79" s="159">
        <f t="shared" si="26"/>
        <v>0</v>
      </c>
      <c r="L79" s="159"/>
      <c r="M79" s="159"/>
      <c r="N79" s="159">
        <f t="shared" si="27"/>
        <v>4999.83</v>
      </c>
      <c r="O79" s="159">
        <v>4999.83</v>
      </c>
      <c r="P79" s="160">
        <f t="shared" si="28"/>
        <v>0</v>
      </c>
      <c r="Q79" s="159"/>
      <c r="R79" s="159"/>
      <c r="S79" s="159"/>
      <c r="T79" s="159"/>
      <c r="U79" s="159">
        <f t="shared" si="18"/>
        <v>0</v>
      </c>
      <c r="V79" s="159"/>
      <c r="W79" s="159"/>
      <c r="X79" s="159"/>
      <c r="Y79" s="159"/>
      <c r="Z79" s="159"/>
      <c r="AA79" s="159"/>
      <c r="AB79" s="161"/>
      <c r="AC79" s="161"/>
      <c r="AD79" s="161"/>
      <c r="AE79" s="161"/>
    </row>
    <row r="80" spans="1:31" s="469" customFormat="1" ht="96" customHeight="1">
      <c r="A80" s="157" t="s">
        <v>839</v>
      </c>
      <c r="B80" s="194" t="s">
        <v>1066</v>
      </c>
      <c r="C80" s="159">
        <f t="shared" si="24"/>
        <v>13156</v>
      </c>
      <c r="D80" s="159"/>
      <c r="E80" s="159">
        <f t="shared" si="25"/>
        <v>13156</v>
      </c>
      <c r="F80" s="159"/>
      <c r="G80" s="159"/>
      <c r="H80" s="159">
        <f>18747+2918+2821+2075+2287-H85-H86-H87</f>
        <v>13156</v>
      </c>
      <c r="I80" s="159"/>
      <c r="J80" s="159"/>
      <c r="K80" s="159">
        <f t="shared" si="26"/>
        <v>0</v>
      </c>
      <c r="L80" s="159"/>
      <c r="M80" s="159"/>
      <c r="N80" s="159">
        <f t="shared" si="27"/>
        <v>8785.579377</v>
      </c>
      <c r="O80" s="159"/>
      <c r="P80" s="160">
        <f t="shared" si="28"/>
        <v>8785.579377</v>
      </c>
      <c r="Q80" s="159"/>
      <c r="R80" s="159">
        <v>8785.579377</v>
      </c>
      <c r="S80" s="159"/>
      <c r="T80" s="159"/>
      <c r="U80" s="159">
        <f t="shared" si="18"/>
        <v>0</v>
      </c>
      <c r="V80" s="159"/>
      <c r="W80" s="159"/>
      <c r="X80" s="159"/>
      <c r="Y80" s="159"/>
      <c r="Z80" s="159"/>
      <c r="AA80" s="159"/>
      <c r="AB80" s="161"/>
      <c r="AC80" s="161"/>
      <c r="AD80" s="161"/>
      <c r="AE80" s="161"/>
    </row>
    <row r="81" spans="1:31" s="469" customFormat="1" ht="24.75" customHeight="1">
      <c r="A81" s="162" t="s">
        <v>840</v>
      </c>
      <c r="B81" s="194" t="s">
        <v>851</v>
      </c>
      <c r="C81" s="159">
        <f t="shared" si="24"/>
        <v>0</v>
      </c>
      <c r="D81" s="159"/>
      <c r="E81" s="159">
        <f t="shared" si="25"/>
        <v>0</v>
      </c>
      <c r="F81" s="159"/>
      <c r="G81" s="159"/>
      <c r="H81" s="159"/>
      <c r="I81" s="159"/>
      <c r="J81" s="159"/>
      <c r="K81" s="159">
        <f t="shared" si="26"/>
        <v>0</v>
      </c>
      <c r="L81" s="159"/>
      <c r="M81" s="159"/>
      <c r="N81" s="159">
        <f t="shared" si="27"/>
        <v>9699.5</v>
      </c>
      <c r="O81" s="159"/>
      <c r="P81" s="160">
        <f t="shared" si="28"/>
        <v>9699.5</v>
      </c>
      <c r="Q81" s="159"/>
      <c r="R81" s="159">
        <v>9699.5</v>
      </c>
      <c r="S81" s="159"/>
      <c r="T81" s="159"/>
      <c r="U81" s="159">
        <f t="shared" si="18"/>
        <v>0</v>
      </c>
      <c r="V81" s="159"/>
      <c r="W81" s="159"/>
      <c r="X81" s="159"/>
      <c r="Y81" s="159"/>
      <c r="Z81" s="159"/>
      <c r="AA81" s="159"/>
      <c r="AB81" s="161"/>
      <c r="AC81" s="161"/>
      <c r="AD81" s="161"/>
      <c r="AE81" s="161"/>
    </row>
    <row r="82" spans="1:31" s="469" customFormat="1" ht="24.75" customHeight="1">
      <c r="A82" s="157" t="s">
        <v>842</v>
      </c>
      <c r="B82" s="194" t="s">
        <v>852</v>
      </c>
      <c r="C82" s="159">
        <f t="shared" si="24"/>
        <v>0</v>
      </c>
      <c r="D82" s="159"/>
      <c r="E82" s="159">
        <f t="shared" si="25"/>
        <v>0</v>
      </c>
      <c r="F82" s="159"/>
      <c r="G82" s="159"/>
      <c r="H82" s="159"/>
      <c r="I82" s="159"/>
      <c r="J82" s="159"/>
      <c r="K82" s="159">
        <f t="shared" si="26"/>
        <v>0</v>
      </c>
      <c r="L82" s="159"/>
      <c r="M82" s="159"/>
      <c r="N82" s="159">
        <f t="shared" si="27"/>
        <v>11048</v>
      </c>
      <c r="O82" s="159"/>
      <c r="P82" s="160">
        <f t="shared" si="28"/>
        <v>11048</v>
      </c>
      <c r="Q82" s="159"/>
      <c r="R82" s="159">
        <v>11048</v>
      </c>
      <c r="S82" s="159"/>
      <c r="T82" s="159"/>
      <c r="U82" s="159">
        <f t="shared" si="18"/>
        <v>0</v>
      </c>
      <c r="V82" s="159"/>
      <c r="W82" s="159"/>
      <c r="X82" s="159"/>
      <c r="Y82" s="159"/>
      <c r="Z82" s="159"/>
      <c r="AA82" s="159"/>
      <c r="AB82" s="161"/>
      <c r="AC82" s="161"/>
      <c r="AD82" s="161"/>
      <c r="AE82" s="161"/>
    </row>
    <row r="83" spans="1:31" s="469" customFormat="1" ht="24.75" customHeight="1">
      <c r="A83" s="162" t="s">
        <v>844</v>
      </c>
      <c r="B83" s="195" t="s">
        <v>853</v>
      </c>
      <c r="C83" s="159">
        <f t="shared" si="24"/>
        <v>106964</v>
      </c>
      <c r="D83" s="159"/>
      <c r="E83" s="159">
        <f t="shared" si="25"/>
        <v>106964</v>
      </c>
      <c r="F83" s="159"/>
      <c r="G83" s="159"/>
      <c r="H83" s="159">
        <f>83651+11957+4335+7021</f>
        <v>106964</v>
      </c>
      <c r="I83" s="159"/>
      <c r="J83" s="159"/>
      <c r="K83" s="159">
        <f t="shared" si="26"/>
        <v>0</v>
      </c>
      <c r="L83" s="159"/>
      <c r="M83" s="159"/>
      <c r="N83" s="159">
        <f t="shared" si="27"/>
        <v>254023.8</v>
      </c>
      <c r="O83" s="159"/>
      <c r="P83" s="160">
        <f t="shared" si="28"/>
        <v>254023.8</v>
      </c>
      <c r="Q83" s="159"/>
      <c r="R83" s="159">
        <v>254023.8</v>
      </c>
      <c r="S83" s="159"/>
      <c r="T83" s="159"/>
      <c r="U83" s="159">
        <f t="shared" si="18"/>
        <v>0</v>
      </c>
      <c r="V83" s="159"/>
      <c r="W83" s="159"/>
      <c r="X83" s="159"/>
      <c r="Y83" s="159"/>
      <c r="Z83" s="159"/>
      <c r="AA83" s="159"/>
      <c r="AB83" s="161"/>
      <c r="AC83" s="161"/>
      <c r="AD83" s="161"/>
      <c r="AE83" s="161"/>
    </row>
    <row r="84" spans="1:31" s="469" customFormat="1" ht="24.75" customHeight="1">
      <c r="A84" s="157" t="s">
        <v>846</v>
      </c>
      <c r="B84" s="194" t="s">
        <v>642</v>
      </c>
      <c r="C84" s="159">
        <f t="shared" si="24"/>
        <v>1823.807</v>
      </c>
      <c r="D84" s="159">
        <v>1778.807</v>
      </c>
      <c r="E84" s="159">
        <f t="shared" si="25"/>
        <v>45</v>
      </c>
      <c r="F84" s="159"/>
      <c r="G84" s="159"/>
      <c r="H84" s="159">
        <v>45</v>
      </c>
      <c r="I84" s="159"/>
      <c r="J84" s="159"/>
      <c r="K84" s="159">
        <f t="shared" si="26"/>
        <v>0</v>
      </c>
      <c r="L84" s="159"/>
      <c r="M84" s="159"/>
      <c r="N84" s="159">
        <f t="shared" si="27"/>
        <v>1778.807</v>
      </c>
      <c r="O84" s="159">
        <v>1778.807</v>
      </c>
      <c r="P84" s="160">
        <f t="shared" si="28"/>
        <v>0</v>
      </c>
      <c r="Q84" s="159"/>
      <c r="R84" s="159"/>
      <c r="S84" s="159"/>
      <c r="T84" s="159"/>
      <c r="U84" s="159">
        <f t="shared" si="18"/>
        <v>0</v>
      </c>
      <c r="V84" s="159"/>
      <c r="W84" s="159"/>
      <c r="X84" s="159"/>
      <c r="Y84" s="159"/>
      <c r="Z84" s="159"/>
      <c r="AA84" s="159"/>
      <c r="AB84" s="161"/>
      <c r="AC84" s="161">
        <f t="shared" ref="AC84:AC101" si="29">O84/D84%</f>
        <v>100</v>
      </c>
      <c r="AD84" s="161"/>
      <c r="AE84" s="161"/>
    </row>
    <row r="85" spans="1:31" s="469" customFormat="1" ht="24.75" customHeight="1">
      <c r="A85" s="162" t="s">
        <v>847</v>
      </c>
      <c r="B85" s="194" t="s">
        <v>882</v>
      </c>
      <c r="C85" s="159">
        <f t="shared" si="24"/>
        <v>7264</v>
      </c>
      <c r="D85" s="159"/>
      <c r="E85" s="159">
        <f t="shared" si="25"/>
        <v>7264</v>
      </c>
      <c r="F85" s="159"/>
      <c r="G85" s="159"/>
      <c r="H85" s="159">
        <v>7264</v>
      </c>
      <c r="I85" s="159"/>
      <c r="J85" s="159"/>
      <c r="K85" s="159">
        <f t="shared" si="26"/>
        <v>0</v>
      </c>
      <c r="L85" s="159"/>
      <c r="M85" s="159"/>
      <c r="N85" s="159">
        <f t="shared" si="27"/>
        <v>5312.1288409999997</v>
      </c>
      <c r="O85" s="159"/>
      <c r="P85" s="160">
        <f t="shared" si="28"/>
        <v>5312.1288409999997</v>
      </c>
      <c r="Q85" s="159"/>
      <c r="R85" s="159">
        <v>5312.1288409999997</v>
      </c>
      <c r="S85" s="159"/>
      <c r="T85" s="159"/>
      <c r="U85" s="159">
        <f t="shared" si="18"/>
        <v>0</v>
      </c>
      <c r="V85" s="159"/>
      <c r="W85" s="159"/>
      <c r="X85" s="159"/>
      <c r="Y85" s="159"/>
      <c r="Z85" s="159"/>
      <c r="AA85" s="159"/>
      <c r="AB85" s="161"/>
      <c r="AC85" s="161"/>
      <c r="AD85" s="161"/>
      <c r="AE85" s="161"/>
    </row>
    <row r="86" spans="1:31" s="469" customFormat="1" ht="24.75" customHeight="1">
      <c r="A86" s="157" t="s">
        <v>848</v>
      </c>
      <c r="B86" s="194" t="s">
        <v>883</v>
      </c>
      <c r="C86" s="159">
        <f t="shared" ref="C86:C89" si="30">D86+E86+I86+J86+K86</f>
        <v>5182</v>
      </c>
      <c r="D86" s="159"/>
      <c r="E86" s="159">
        <f t="shared" ref="E86:E89" si="31">F86+G86+H86</f>
        <v>5182</v>
      </c>
      <c r="F86" s="159"/>
      <c r="G86" s="159"/>
      <c r="H86" s="159">
        <v>5182</v>
      </c>
      <c r="I86" s="159"/>
      <c r="J86" s="159"/>
      <c r="K86" s="159">
        <f t="shared" ref="K86:K87" si="32">L86+M86</f>
        <v>0</v>
      </c>
      <c r="L86" s="159"/>
      <c r="M86" s="159"/>
      <c r="N86" s="159">
        <f t="shared" ref="N86:N87" si="33">O86+P86+S86+T86+U86</f>
        <v>4697.3850869999997</v>
      </c>
      <c r="O86" s="159"/>
      <c r="P86" s="160">
        <f t="shared" ref="P86:P87" si="34">Q86+R86</f>
        <v>4697.3850869999997</v>
      </c>
      <c r="Q86" s="159"/>
      <c r="R86" s="159">
        <v>4697.3850869999997</v>
      </c>
      <c r="S86" s="159"/>
      <c r="T86" s="159"/>
      <c r="U86" s="159">
        <f t="shared" ref="U86:U87" si="35">V86+W86</f>
        <v>0</v>
      </c>
      <c r="V86" s="159"/>
      <c r="W86" s="159"/>
      <c r="X86" s="159"/>
      <c r="Y86" s="159"/>
      <c r="Z86" s="159"/>
      <c r="AA86" s="159"/>
      <c r="AB86" s="161"/>
      <c r="AC86" s="161"/>
      <c r="AD86" s="161"/>
      <c r="AE86" s="161"/>
    </row>
    <row r="87" spans="1:31" s="469" customFormat="1" ht="24.75" customHeight="1">
      <c r="A87" s="162" t="s">
        <v>849</v>
      </c>
      <c r="B87" s="194" t="s">
        <v>884</v>
      </c>
      <c r="C87" s="159">
        <f t="shared" si="30"/>
        <v>3246</v>
      </c>
      <c r="D87" s="159"/>
      <c r="E87" s="159">
        <f t="shared" si="31"/>
        <v>3246</v>
      </c>
      <c r="F87" s="159"/>
      <c r="G87" s="159"/>
      <c r="H87" s="159">
        <v>3246</v>
      </c>
      <c r="I87" s="159"/>
      <c r="J87" s="159"/>
      <c r="K87" s="159">
        <f t="shared" si="32"/>
        <v>0</v>
      </c>
      <c r="L87" s="159"/>
      <c r="M87" s="159"/>
      <c r="N87" s="159">
        <f t="shared" si="33"/>
        <v>2488.8309960000001</v>
      </c>
      <c r="O87" s="159"/>
      <c r="P87" s="160">
        <f t="shared" si="34"/>
        <v>2488.8309960000001</v>
      </c>
      <c r="Q87" s="159"/>
      <c r="R87" s="159">
        <v>2488.8309960000001</v>
      </c>
      <c r="S87" s="159"/>
      <c r="T87" s="159"/>
      <c r="U87" s="159">
        <f t="shared" si="35"/>
        <v>0</v>
      </c>
      <c r="V87" s="159"/>
      <c r="W87" s="159"/>
      <c r="X87" s="159"/>
      <c r="Y87" s="159"/>
      <c r="Z87" s="159"/>
      <c r="AA87" s="159"/>
      <c r="AB87" s="161"/>
      <c r="AC87" s="161"/>
      <c r="AD87" s="161"/>
      <c r="AE87" s="161"/>
    </row>
    <row r="88" spans="1:31" s="469" customFormat="1" ht="24.75" customHeight="1">
      <c r="A88" s="381">
        <v>75</v>
      </c>
      <c r="B88" s="377" t="s">
        <v>639</v>
      </c>
      <c r="C88" s="159">
        <f t="shared" ref="C88" si="36">D88+E88+I88+J88+K88</f>
        <v>955</v>
      </c>
      <c r="D88" s="159"/>
      <c r="E88" s="159">
        <f t="shared" ref="E88" si="37">F88+G88+H88</f>
        <v>955</v>
      </c>
      <c r="F88" s="159"/>
      <c r="G88" s="159"/>
      <c r="H88" s="159">
        <v>955</v>
      </c>
      <c r="I88" s="159"/>
      <c r="J88" s="159"/>
      <c r="K88" s="159">
        <f t="shared" ref="K88" si="38">L88+M88</f>
        <v>0</v>
      </c>
      <c r="L88" s="159"/>
      <c r="M88" s="159"/>
      <c r="N88" s="159">
        <f t="shared" ref="N88" si="39">O88+P88+S88+T88+U88</f>
        <v>0</v>
      </c>
      <c r="O88" s="159"/>
      <c r="P88" s="160"/>
      <c r="Q88" s="159"/>
      <c r="R88" s="159">
        <v>2489.8309960000001</v>
      </c>
      <c r="S88" s="159"/>
      <c r="T88" s="159"/>
      <c r="U88" s="159">
        <f t="shared" ref="U88" si="40">V88+W88</f>
        <v>0</v>
      </c>
      <c r="V88" s="159"/>
      <c r="W88" s="159"/>
      <c r="X88" s="159"/>
      <c r="Y88" s="159"/>
      <c r="Z88" s="159"/>
      <c r="AA88" s="159"/>
      <c r="AB88" s="161"/>
      <c r="AC88" s="161"/>
      <c r="AD88" s="161"/>
      <c r="AE88" s="161"/>
    </row>
    <row r="89" spans="1:31" s="469" customFormat="1" ht="49.5" customHeight="1">
      <c r="A89" s="162" t="s">
        <v>850</v>
      </c>
      <c r="B89" s="377" t="s">
        <v>1068</v>
      </c>
      <c r="C89" s="159">
        <f t="shared" si="30"/>
        <v>2623</v>
      </c>
      <c r="D89" s="378"/>
      <c r="E89" s="159">
        <f t="shared" si="31"/>
        <v>2623</v>
      </c>
      <c r="F89" s="378"/>
      <c r="G89" s="378"/>
      <c r="H89" s="378">
        <f>291+1438+780+114</f>
        <v>2623</v>
      </c>
      <c r="I89" s="378"/>
      <c r="J89" s="378"/>
      <c r="K89" s="378"/>
      <c r="L89" s="378"/>
      <c r="M89" s="378"/>
      <c r="N89" s="378"/>
      <c r="O89" s="378"/>
      <c r="P89" s="379"/>
      <c r="Q89" s="378"/>
      <c r="R89" s="378"/>
      <c r="S89" s="378"/>
      <c r="T89" s="378"/>
      <c r="U89" s="378"/>
      <c r="V89" s="378"/>
      <c r="W89" s="378"/>
      <c r="X89" s="378"/>
      <c r="Y89" s="378"/>
      <c r="Z89" s="378"/>
      <c r="AA89" s="378"/>
      <c r="AB89" s="380"/>
      <c r="AC89" s="380"/>
      <c r="AD89" s="380"/>
      <c r="AE89" s="380"/>
    </row>
    <row r="90" spans="1:31" s="469" customFormat="1" ht="37.5" customHeight="1">
      <c r="A90" s="381">
        <v>76</v>
      </c>
      <c r="B90" s="194" t="s">
        <v>888</v>
      </c>
      <c r="C90" s="159">
        <f t="shared" si="24"/>
        <v>149330</v>
      </c>
      <c r="D90" s="159"/>
      <c r="E90" s="159">
        <f t="shared" si="25"/>
        <v>149330</v>
      </c>
      <c r="F90" s="159"/>
      <c r="G90" s="159">
        <v>149330</v>
      </c>
      <c r="H90" s="159"/>
      <c r="I90" s="159"/>
      <c r="J90" s="159"/>
      <c r="K90" s="159">
        <f t="shared" si="26"/>
        <v>0</v>
      </c>
      <c r="L90" s="159"/>
      <c r="M90" s="159"/>
      <c r="N90" s="159">
        <f t="shared" si="27"/>
        <v>15431.826800000001</v>
      </c>
      <c r="O90" s="159"/>
      <c r="P90" s="160">
        <f t="shared" si="28"/>
        <v>15431.826800000001</v>
      </c>
      <c r="Q90" s="159">
        <f>15287.8268+144</f>
        <v>15431.826800000001</v>
      </c>
      <c r="R90" s="159"/>
      <c r="S90" s="159"/>
      <c r="T90" s="159"/>
      <c r="U90" s="159">
        <f t="shared" si="18"/>
        <v>0</v>
      </c>
      <c r="V90" s="159"/>
      <c r="W90" s="159"/>
      <c r="X90" s="159"/>
      <c r="Y90" s="159"/>
      <c r="Z90" s="159"/>
      <c r="AA90" s="159"/>
      <c r="AB90" s="161"/>
      <c r="AC90" s="161"/>
      <c r="AD90" s="161"/>
      <c r="AE90" s="161"/>
    </row>
    <row r="91" spans="1:31" s="466" customFormat="1" ht="58.5" customHeight="1">
      <c r="A91" s="166" t="s">
        <v>854</v>
      </c>
      <c r="B91" s="196" t="s">
        <v>855</v>
      </c>
      <c r="C91" s="155">
        <f t="shared" si="24"/>
        <v>270875.52499999997</v>
      </c>
      <c r="D91" s="155">
        <f>SUM(D92:D102)</f>
        <v>127359.52499999998</v>
      </c>
      <c r="E91" s="155">
        <f t="shared" ref="E91" si="41">SUM(E92:E101)</f>
        <v>0</v>
      </c>
      <c r="F91" s="155"/>
      <c r="G91" s="155"/>
      <c r="H91" s="155"/>
      <c r="I91" s="155">
        <f>SUM(I92:I101)</f>
        <v>0</v>
      </c>
      <c r="J91" s="155">
        <f>SUM(J92:J101)</f>
        <v>0</v>
      </c>
      <c r="K91" s="155">
        <f t="shared" si="26"/>
        <v>143516</v>
      </c>
      <c r="L91" s="155">
        <f>SUM(L92:L102)</f>
        <v>143516</v>
      </c>
      <c r="M91" s="155">
        <f>SUM(M92:M101)</f>
        <v>0</v>
      </c>
      <c r="N91" s="155">
        <f>O91+P91+S91+T91+U91</f>
        <v>293315.328546</v>
      </c>
      <c r="O91" s="155">
        <f>SUM(O92:O102)</f>
        <v>139320.25277600001</v>
      </c>
      <c r="P91" s="155"/>
      <c r="Q91" s="155"/>
      <c r="R91" s="155"/>
      <c r="S91" s="155"/>
      <c r="T91" s="155"/>
      <c r="U91" s="155">
        <f t="shared" ref="U91" si="42">SUM(U92:U101)</f>
        <v>153995.07577</v>
      </c>
      <c r="V91" s="155">
        <f>SUM(V92:V102)</f>
        <v>153995.07577</v>
      </c>
      <c r="W91" s="155"/>
      <c r="X91" s="155">
        <f t="shared" ref="X91:Z91" si="43">SUM(X92:X102)</f>
        <v>0</v>
      </c>
      <c r="Y91" s="155">
        <f t="shared" si="43"/>
        <v>0</v>
      </c>
      <c r="Z91" s="155">
        <f t="shared" si="43"/>
        <v>0</v>
      </c>
      <c r="AA91" s="155"/>
      <c r="AB91" s="161"/>
      <c r="AC91" s="161">
        <f t="shared" si="29"/>
        <v>109.39130997544159</v>
      </c>
      <c r="AD91" s="161"/>
      <c r="AE91" s="161">
        <f t="shared" ref="AE91:AE102" si="44">U91/K91%</f>
        <v>107.30167770144095</v>
      </c>
    </row>
    <row r="92" spans="1:31" s="469" customFormat="1">
      <c r="A92" s="167" t="s">
        <v>422</v>
      </c>
      <c r="B92" s="168" t="s">
        <v>856</v>
      </c>
      <c r="C92" s="159">
        <f t="shared" si="24"/>
        <v>5462.6959999999999</v>
      </c>
      <c r="D92" s="160">
        <v>5462.6959999999999</v>
      </c>
      <c r="E92" s="160"/>
      <c r="F92" s="160"/>
      <c r="G92" s="160"/>
      <c r="H92" s="160"/>
      <c r="I92" s="160"/>
      <c r="J92" s="160"/>
      <c r="K92" s="159">
        <f t="shared" si="26"/>
        <v>0</v>
      </c>
      <c r="L92" s="160"/>
      <c r="M92" s="160"/>
      <c r="N92" s="159">
        <f t="shared" ref="N92:N99" si="45">O92+P92+S92+T92+U92</f>
        <v>6088.7690000000011</v>
      </c>
      <c r="O92" s="160">
        <v>6088.7690000000011</v>
      </c>
      <c r="P92" s="160"/>
      <c r="Q92" s="160"/>
      <c r="R92" s="160"/>
      <c r="S92" s="160"/>
      <c r="T92" s="160"/>
      <c r="U92" s="159">
        <f t="shared" ref="U92:U101" si="46">V92+W92</f>
        <v>0</v>
      </c>
      <c r="V92" s="160"/>
      <c r="W92" s="160"/>
      <c r="X92" s="159">
        <f t="shared" ref="X92:X101" si="47">Y92+Z92</f>
        <v>0</v>
      </c>
      <c r="Y92" s="159"/>
      <c r="Z92" s="159"/>
      <c r="AA92" s="159"/>
      <c r="AB92" s="161"/>
      <c r="AC92" s="161">
        <f t="shared" si="29"/>
        <v>111.46087938995693</v>
      </c>
      <c r="AD92" s="161"/>
      <c r="AE92" s="161"/>
    </row>
    <row r="93" spans="1:31" s="469" customFormat="1">
      <c r="A93" s="167" t="s">
        <v>423</v>
      </c>
      <c r="B93" s="168" t="s">
        <v>857</v>
      </c>
      <c r="C93" s="159">
        <f t="shared" si="24"/>
        <v>9351.8590000000004</v>
      </c>
      <c r="D93" s="160">
        <v>9351.8590000000004</v>
      </c>
      <c r="E93" s="160"/>
      <c r="F93" s="160"/>
      <c r="G93" s="160"/>
      <c r="H93" s="160"/>
      <c r="I93" s="160"/>
      <c r="J93" s="160"/>
      <c r="K93" s="159">
        <f t="shared" si="26"/>
        <v>0</v>
      </c>
      <c r="L93" s="160"/>
      <c r="M93" s="160"/>
      <c r="N93" s="159">
        <f t="shared" si="45"/>
        <v>9824.7289999999994</v>
      </c>
      <c r="O93" s="160">
        <v>9824.7289999999994</v>
      </c>
      <c r="P93" s="160"/>
      <c r="Q93" s="160"/>
      <c r="R93" s="160"/>
      <c r="S93" s="160"/>
      <c r="T93" s="160"/>
      <c r="U93" s="159">
        <f t="shared" si="46"/>
        <v>0</v>
      </c>
      <c r="V93" s="160"/>
      <c r="W93" s="160"/>
      <c r="X93" s="159">
        <f t="shared" si="47"/>
        <v>0</v>
      </c>
      <c r="Y93" s="159"/>
      <c r="Z93" s="159"/>
      <c r="AA93" s="159"/>
      <c r="AB93" s="161"/>
      <c r="AC93" s="161">
        <f t="shared" si="29"/>
        <v>105.05642781825516</v>
      </c>
      <c r="AD93" s="161"/>
      <c r="AE93" s="161"/>
    </row>
    <row r="94" spans="1:31" s="469" customFormat="1">
      <c r="A94" s="167" t="s">
        <v>424</v>
      </c>
      <c r="B94" s="168" t="s">
        <v>609</v>
      </c>
      <c r="C94" s="159">
        <f t="shared" si="24"/>
        <v>37884.425000000003</v>
      </c>
      <c r="D94" s="160">
        <v>17306.424999999999</v>
      </c>
      <c r="E94" s="160"/>
      <c r="F94" s="160"/>
      <c r="G94" s="160"/>
      <c r="H94" s="160"/>
      <c r="I94" s="160"/>
      <c r="J94" s="160"/>
      <c r="K94" s="159">
        <f t="shared" si="26"/>
        <v>20578</v>
      </c>
      <c r="L94" s="160">
        <v>20578</v>
      </c>
      <c r="M94" s="160"/>
      <c r="N94" s="159">
        <f t="shared" si="45"/>
        <v>51013.229999999996</v>
      </c>
      <c r="O94" s="160">
        <v>21764.837</v>
      </c>
      <c r="P94" s="160"/>
      <c r="Q94" s="160"/>
      <c r="R94" s="160"/>
      <c r="S94" s="160"/>
      <c r="T94" s="160"/>
      <c r="U94" s="159">
        <f t="shared" si="46"/>
        <v>29248.393</v>
      </c>
      <c r="V94" s="160">
        <v>29248.393</v>
      </c>
      <c r="W94" s="160"/>
      <c r="X94" s="159">
        <f t="shared" si="47"/>
        <v>0</v>
      </c>
      <c r="Y94" s="159"/>
      <c r="Z94" s="159"/>
      <c r="AA94" s="159"/>
      <c r="AB94" s="161"/>
      <c r="AC94" s="161">
        <f t="shared" si="29"/>
        <v>125.76160009938506</v>
      </c>
      <c r="AD94" s="161"/>
      <c r="AE94" s="161">
        <f t="shared" si="44"/>
        <v>142.13428418699581</v>
      </c>
    </row>
    <row r="95" spans="1:31" s="469" customFormat="1">
      <c r="A95" s="167" t="s">
        <v>425</v>
      </c>
      <c r="B95" s="168" t="s">
        <v>612</v>
      </c>
      <c r="C95" s="159">
        <f t="shared" si="24"/>
        <v>40305.055999999997</v>
      </c>
      <c r="D95" s="160">
        <v>25905.055999999997</v>
      </c>
      <c r="E95" s="160"/>
      <c r="F95" s="160"/>
      <c r="G95" s="160"/>
      <c r="H95" s="160"/>
      <c r="I95" s="160"/>
      <c r="J95" s="160"/>
      <c r="K95" s="159">
        <f t="shared" si="26"/>
        <v>14400</v>
      </c>
      <c r="L95" s="160">
        <v>14400</v>
      </c>
      <c r="M95" s="160"/>
      <c r="N95" s="159">
        <f t="shared" si="45"/>
        <v>50593.817999999999</v>
      </c>
      <c r="O95" s="160">
        <v>36193.817999999999</v>
      </c>
      <c r="P95" s="160"/>
      <c r="Q95" s="160"/>
      <c r="R95" s="160"/>
      <c r="S95" s="160"/>
      <c r="T95" s="160"/>
      <c r="U95" s="159">
        <f t="shared" si="46"/>
        <v>14400</v>
      </c>
      <c r="V95" s="160">
        <v>14400</v>
      </c>
      <c r="W95" s="160"/>
      <c r="X95" s="159">
        <f t="shared" si="47"/>
        <v>0</v>
      </c>
      <c r="Y95" s="159"/>
      <c r="Z95" s="159"/>
      <c r="AA95" s="159"/>
      <c r="AB95" s="161"/>
      <c r="AC95" s="161">
        <f t="shared" si="29"/>
        <v>139.71719651947484</v>
      </c>
      <c r="AD95" s="161"/>
      <c r="AE95" s="161">
        <f t="shared" si="44"/>
        <v>100</v>
      </c>
    </row>
    <row r="96" spans="1:31" s="469" customFormat="1">
      <c r="A96" s="167" t="s">
        <v>426</v>
      </c>
      <c r="B96" s="168" t="s">
        <v>858</v>
      </c>
      <c r="C96" s="159">
        <f t="shared" si="24"/>
        <v>1074</v>
      </c>
      <c r="D96" s="160">
        <v>1074</v>
      </c>
      <c r="E96" s="160"/>
      <c r="F96" s="160"/>
      <c r="G96" s="160"/>
      <c r="H96" s="160"/>
      <c r="I96" s="160"/>
      <c r="J96" s="160"/>
      <c r="K96" s="159">
        <f t="shared" si="26"/>
        <v>0</v>
      </c>
      <c r="L96" s="160"/>
      <c r="M96" s="160"/>
      <c r="N96" s="159">
        <f t="shared" si="45"/>
        <v>1235.3954999999999</v>
      </c>
      <c r="O96" s="160">
        <v>1235.3954999999999</v>
      </c>
      <c r="P96" s="160"/>
      <c r="Q96" s="160"/>
      <c r="R96" s="160"/>
      <c r="S96" s="160"/>
      <c r="T96" s="160"/>
      <c r="U96" s="159">
        <f t="shared" si="46"/>
        <v>0</v>
      </c>
      <c r="V96" s="160"/>
      <c r="W96" s="160"/>
      <c r="X96" s="159">
        <f t="shared" si="47"/>
        <v>0</v>
      </c>
      <c r="Y96" s="159"/>
      <c r="Z96" s="159"/>
      <c r="AA96" s="159"/>
      <c r="AB96" s="161"/>
      <c r="AC96" s="161">
        <f t="shared" si="29"/>
        <v>115.02751396648043</v>
      </c>
      <c r="AD96" s="161"/>
      <c r="AE96" s="161"/>
    </row>
    <row r="97" spans="1:38" s="469" customFormat="1">
      <c r="A97" s="167" t="s">
        <v>427</v>
      </c>
      <c r="B97" s="168" t="s">
        <v>610</v>
      </c>
      <c r="C97" s="159">
        <f t="shared" si="24"/>
        <v>26707.451000000001</v>
      </c>
      <c r="D97" s="160">
        <v>12866.9</v>
      </c>
      <c r="E97" s="160"/>
      <c r="F97" s="160"/>
      <c r="G97" s="160"/>
      <c r="H97" s="160"/>
      <c r="I97" s="160"/>
      <c r="J97" s="160"/>
      <c r="K97" s="159">
        <f t="shared" si="26"/>
        <v>13840.550999999999</v>
      </c>
      <c r="L97" s="160">
        <v>13840.550999999999</v>
      </c>
      <c r="M97" s="160"/>
      <c r="N97" s="159">
        <f t="shared" si="45"/>
        <v>23269.449820999998</v>
      </c>
      <c r="O97" s="160">
        <v>9428.8988209999989</v>
      </c>
      <c r="P97" s="160"/>
      <c r="Q97" s="160"/>
      <c r="R97" s="160"/>
      <c r="S97" s="160"/>
      <c r="T97" s="160"/>
      <c r="U97" s="159">
        <f t="shared" si="46"/>
        <v>13840.550999999999</v>
      </c>
      <c r="V97" s="160">
        <v>13840.550999999999</v>
      </c>
      <c r="W97" s="160"/>
      <c r="X97" s="159">
        <f t="shared" si="47"/>
        <v>0</v>
      </c>
      <c r="Y97" s="159"/>
      <c r="Z97" s="159"/>
      <c r="AA97" s="159"/>
      <c r="AB97" s="161"/>
      <c r="AC97" s="161">
        <f t="shared" si="29"/>
        <v>73.280268137624446</v>
      </c>
      <c r="AD97" s="161"/>
      <c r="AE97" s="161">
        <f t="shared" si="44"/>
        <v>100</v>
      </c>
    </row>
    <row r="98" spans="1:38" s="469" customFormat="1">
      <c r="A98" s="167" t="s">
        <v>428</v>
      </c>
      <c r="B98" s="168" t="s">
        <v>309</v>
      </c>
      <c r="C98" s="159">
        <f t="shared" si="24"/>
        <v>65926</v>
      </c>
      <c r="D98" s="160">
        <v>28849</v>
      </c>
      <c r="E98" s="160"/>
      <c r="F98" s="160"/>
      <c r="G98" s="160"/>
      <c r="H98" s="160"/>
      <c r="I98" s="160"/>
      <c r="J98" s="160"/>
      <c r="K98" s="159">
        <f t="shared" si="26"/>
        <v>37077</v>
      </c>
      <c r="L98" s="160">
        <v>37077</v>
      </c>
      <c r="M98" s="160"/>
      <c r="N98" s="159">
        <f t="shared" si="45"/>
        <v>73786.628955000007</v>
      </c>
      <c r="O98" s="160">
        <v>26533.030185</v>
      </c>
      <c r="P98" s="160"/>
      <c r="Q98" s="160"/>
      <c r="R98" s="160"/>
      <c r="S98" s="160"/>
      <c r="T98" s="160"/>
      <c r="U98" s="159">
        <f t="shared" si="46"/>
        <v>47253.598770000004</v>
      </c>
      <c r="V98" s="160">
        <v>47253.598770000004</v>
      </c>
      <c r="W98" s="160"/>
      <c r="X98" s="159">
        <f t="shared" si="47"/>
        <v>0</v>
      </c>
      <c r="Y98" s="159"/>
      <c r="Z98" s="159"/>
      <c r="AA98" s="159"/>
      <c r="AB98" s="161"/>
      <c r="AC98" s="161">
        <f t="shared" si="29"/>
        <v>91.97209672778952</v>
      </c>
      <c r="AD98" s="161"/>
      <c r="AE98" s="161">
        <f t="shared" si="44"/>
        <v>127.44720114896029</v>
      </c>
      <c r="AI98" s="466"/>
      <c r="AJ98" s="466"/>
      <c r="AK98" s="466"/>
      <c r="AL98" s="466"/>
    </row>
    <row r="99" spans="1:38" s="469" customFormat="1">
      <c r="A99" s="167" t="s">
        <v>434</v>
      </c>
      <c r="B99" s="168" t="s">
        <v>859</v>
      </c>
      <c r="C99" s="159">
        <f t="shared" si="24"/>
        <v>25997.929</v>
      </c>
      <c r="D99" s="160">
        <v>13494.48</v>
      </c>
      <c r="E99" s="160"/>
      <c r="F99" s="160"/>
      <c r="G99" s="160"/>
      <c r="H99" s="160"/>
      <c r="I99" s="160"/>
      <c r="J99" s="160"/>
      <c r="K99" s="159">
        <f t="shared" si="26"/>
        <v>12503.449000000001</v>
      </c>
      <c r="L99" s="160">
        <v>12503.449000000001</v>
      </c>
      <c r="M99" s="160"/>
      <c r="N99" s="159">
        <f t="shared" si="45"/>
        <v>25200.744999999999</v>
      </c>
      <c r="O99" s="160">
        <v>12697.295999999998</v>
      </c>
      <c r="P99" s="160"/>
      <c r="Q99" s="160"/>
      <c r="R99" s="160"/>
      <c r="S99" s="160"/>
      <c r="T99" s="160"/>
      <c r="U99" s="159">
        <f t="shared" si="46"/>
        <v>12503.449000000001</v>
      </c>
      <c r="V99" s="160">
        <v>12503.449000000001</v>
      </c>
      <c r="W99" s="160"/>
      <c r="X99" s="159">
        <f t="shared" si="47"/>
        <v>0</v>
      </c>
      <c r="Y99" s="159"/>
      <c r="Z99" s="159"/>
      <c r="AA99" s="159"/>
      <c r="AB99" s="161"/>
      <c r="AC99" s="161">
        <f t="shared" si="29"/>
        <v>94.092517829512516</v>
      </c>
      <c r="AD99" s="161"/>
      <c r="AE99" s="161">
        <f t="shared" si="44"/>
        <v>100</v>
      </c>
      <c r="AI99" s="466"/>
      <c r="AJ99" s="466"/>
      <c r="AK99" s="466"/>
      <c r="AL99" s="466"/>
    </row>
    <row r="100" spans="1:38" s="469" customFormat="1">
      <c r="A100" s="167" t="s">
        <v>438</v>
      </c>
      <c r="B100" s="168" t="s">
        <v>860</v>
      </c>
      <c r="C100" s="159">
        <f>D100+E100+I100+J100+K100</f>
        <v>53937</v>
      </c>
      <c r="D100" s="160">
        <v>12000</v>
      </c>
      <c r="E100" s="160"/>
      <c r="F100" s="160"/>
      <c r="G100" s="160"/>
      <c r="H100" s="160"/>
      <c r="I100" s="160"/>
      <c r="J100" s="160"/>
      <c r="K100" s="159">
        <f t="shared" si="26"/>
        <v>41937</v>
      </c>
      <c r="L100" s="160">
        <v>41937</v>
      </c>
      <c r="M100" s="160"/>
      <c r="N100" s="159">
        <f t="shared" ref="N100:N101" si="48">O100+P100+S100+T100+U100+X100</f>
        <v>48348.616999999998</v>
      </c>
      <c r="O100" s="160">
        <v>11599.532999999999</v>
      </c>
      <c r="P100" s="160"/>
      <c r="Q100" s="160"/>
      <c r="R100" s="160"/>
      <c r="S100" s="160"/>
      <c r="T100" s="160"/>
      <c r="U100" s="159">
        <f t="shared" si="46"/>
        <v>36749.083999999995</v>
      </c>
      <c r="V100" s="160">
        <v>36749.083999999995</v>
      </c>
      <c r="W100" s="160"/>
      <c r="X100" s="159">
        <f t="shared" si="47"/>
        <v>0</v>
      </c>
      <c r="Y100" s="159"/>
      <c r="Z100" s="159"/>
      <c r="AA100" s="159"/>
      <c r="AB100" s="161"/>
      <c r="AC100" s="161">
        <f t="shared" si="29"/>
        <v>96.662774999999996</v>
      </c>
      <c r="AD100" s="161"/>
      <c r="AE100" s="161">
        <f t="shared" si="44"/>
        <v>87.629262942032085</v>
      </c>
      <c r="AI100" s="466"/>
      <c r="AJ100" s="466"/>
      <c r="AK100" s="466"/>
      <c r="AL100" s="466"/>
    </row>
    <row r="101" spans="1:38" s="469" customFormat="1">
      <c r="A101" s="167" t="s">
        <v>442</v>
      </c>
      <c r="B101" s="168" t="s">
        <v>518</v>
      </c>
      <c r="C101" s="159">
        <f t="shared" si="24"/>
        <v>1049.1089999999999</v>
      </c>
      <c r="D101" s="160">
        <v>1049.1089999999999</v>
      </c>
      <c r="E101" s="160"/>
      <c r="F101" s="160"/>
      <c r="G101" s="160"/>
      <c r="H101" s="160"/>
      <c r="I101" s="160"/>
      <c r="J101" s="160"/>
      <c r="K101" s="159">
        <f t="shared" si="26"/>
        <v>0</v>
      </c>
      <c r="L101" s="160"/>
      <c r="M101" s="160"/>
      <c r="N101" s="159">
        <f t="shared" si="48"/>
        <v>3953.9462700000099</v>
      </c>
      <c r="O101" s="160">
        <v>3953.9462700000099</v>
      </c>
      <c r="P101" s="160"/>
      <c r="Q101" s="160"/>
      <c r="R101" s="160"/>
      <c r="S101" s="160"/>
      <c r="T101" s="160"/>
      <c r="U101" s="159">
        <f t="shared" si="46"/>
        <v>0</v>
      </c>
      <c r="V101" s="160"/>
      <c r="W101" s="160"/>
      <c r="X101" s="159">
        <f t="shared" si="47"/>
        <v>0</v>
      </c>
      <c r="Y101" s="159"/>
      <c r="Z101" s="159"/>
      <c r="AA101" s="159"/>
      <c r="AB101" s="161"/>
      <c r="AC101" s="161">
        <f t="shared" si="29"/>
        <v>376.88612622711366</v>
      </c>
      <c r="AD101" s="161"/>
      <c r="AE101" s="161"/>
      <c r="AI101" s="466"/>
      <c r="AJ101" s="466"/>
      <c r="AK101" s="466"/>
      <c r="AL101" s="466"/>
    </row>
    <row r="102" spans="1:38" s="469" customFormat="1">
      <c r="A102" s="167">
        <v>11</v>
      </c>
      <c r="B102" s="168" t="s">
        <v>689</v>
      </c>
      <c r="C102" s="159">
        <f t="shared" si="24"/>
        <v>3180</v>
      </c>
      <c r="D102" s="160"/>
      <c r="E102" s="160"/>
      <c r="F102" s="160"/>
      <c r="G102" s="160"/>
      <c r="H102" s="160"/>
      <c r="I102" s="160"/>
      <c r="J102" s="160"/>
      <c r="K102" s="159">
        <f t="shared" si="26"/>
        <v>3180</v>
      </c>
      <c r="L102" s="160">
        <v>3180</v>
      </c>
      <c r="M102" s="160"/>
      <c r="N102" s="159"/>
      <c r="O102" s="160"/>
      <c r="P102" s="160"/>
      <c r="Q102" s="160"/>
      <c r="R102" s="160"/>
      <c r="S102" s="160"/>
      <c r="T102" s="160"/>
      <c r="U102" s="159"/>
      <c r="V102" s="160"/>
      <c r="W102" s="160"/>
      <c r="X102" s="159"/>
      <c r="Y102" s="159"/>
      <c r="Z102" s="159"/>
      <c r="AA102" s="159"/>
      <c r="AB102" s="161"/>
      <c r="AC102" s="161"/>
      <c r="AD102" s="161"/>
      <c r="AE102" s="161">
        <f t="shared" si="44"/>
        <v>0</v>
      </c>
      <c r="AI102" s="466"/>
      <c r="AJ102" s="466"/>
      <c r="AK102" s="466"/>
      <c r="AL102" s="466"/>
    </row>
    <row r="103" spans="1:38" s="466" customFormat="1">
      <c r="A103" s="166" t="s">
        <v>33</v>
      </c>
      <c r="B103" s="169" t="s">
        <v>861</v>
      </c>
      <c r="C103" s="155">
        <f>D103+E103+I103+J103+K103</f>
        <v>131708</v>
      </c>
      <c r="D103" s="170"/>
      <c r="E103" s="170">
        <f>E104+E105+E106+E107+E109+E108+E110</f>
        <v>131708</v>
      </c>
      <c r="F103" s="170">
        <f>F104+F105+F106+F107+F109+F108+F110</f>
        <v>131708</v>
      </c>
      <c r="G103" s="170"/>
      <c r="H103" s="170"/>
      <c r="I103" s="170"/>
      <c r="J103" s="170"/>
      <c r="K103" s="155"/>
      <c r="L103" s="170"/>
      <c r="M103" s="170"/>
      <c r="N103" s="155"/>
      <c r="O103" s="170"/>
      <c r="P103" s="170"/>
      <c r="Q103" s="170"/>
      <c r="R103" s="170"/>
      <c r="S103" s="170"/>
      <c r="T103" s="170"/>
      <c r="U103" s="155"/>
      <c r="V103" s="170"/>
      <c r="W103" s="170"/>
      <c r="X103" s="155"/>
      <c r="Y103" s="155"/>
      <c r="Z103" s="155"/>
      <c r="AA103" s="155"/>
      <c r="AB103" s="161">
        <f t="shared" ref="AB103:AB110" si="49">N103/C103%</f>
        <v>0</v>
      </c>
      <c r="AC103" s="161"/>
      <c r="AD103" s="161">
        <f t="shared" ref="AD103:AD110" si="50">P103/E103%</f>
        <v>0</v>
      </c>
      <c r="AE103" s="161"/>
    </row>
    <row r="104" spans="1:38" s="466" customFormat="1">
      <c r="A104" s="166"/>
      <c r="B104" s="168" t="s">
        <v>862</v>
      </c>
      <c r="C104" s="159">
        <f>D104+E104+I104+J104+K104</f>
        <v>7500</v>
      </c>
      <c r="D104" s="160"/>
      <c r="E104" s="160">
        <f>F104+G104+H104</f>
        <v>7500</v>
      </c>
      <c r="F104" s="160">
        <v>7500</v>
      </c>
      <c r="G104" s="170"/>
      <c r="H104" s="170"/>
      <c r="I104" s="170"/>
      <c r="J104" s="170"/>
      <c r="K104" s="155"/>
      <c r="L104" s="170"/>
      <c r="M104" s="170"/>
      <c r="N104" s="155"/>
      <c r="O104" s="170"/>
      <c r="P104" s="170"/>
      <c r="Q104" s="170"/>
      <c r="R104" s="170"/>
      <c r="S104" s="170"/>
      <c r="T104" s="170"/>
      <c r="U104" s="155"/>
      <c r="V104" s="170"/>
      <c r="W104" s="170"/>
      <c r="X104" s="155"/>
      <c r="Y104" s="155"/>
      <c r="Z104" s="155"/>
      <c r="AA104" s="155"/>
      <c r="AB104" s="161">
        <f t="shared" si="49"/>
        <v>0</v>
      </c>
      <c r="AC104" s="161"/>
      <c r="AD104" s="161">
        <f t="shared" si="50"/>
        <v>0</v>
      </c>
      <c r="AE104" s="161"/>
    </row>
    <row r="105" spans="1:38" s="466" customFormat="1" ht="31.5">
      <c r="A105" s="166"/>
      <c r="B105" s="168" t="s">
        <v>863</v>
      </c>
      <c r="C105" s="159">
        <f>D105+E105+I105+J105+K105</f>
        <v>12545</v>
      </c>
      <c r="D105" s="160"/>
      <c r="E105" s="160">
        <f t="shared" ref="E105:E110" si="51">F105+G105+H105</f>
        <v>12545</v>
      </c>
      <c r="F105" s="160">
        <v>12545</v>
      </c>
      <c r="G105" s="170"/>
      <c r="H105" s="170"/>
      <c r="I105" s="170"/>
      <c r="J105" s="170"/>
      <c r="K105" s="155"/>
      <c r="L105" s="170"/>
      <c r="M105" s="170"/>
      <c r="N105" s="155"/>
      <c r="O105" s="170"/>
      <c r="P105" s="170"/>
      <c r="Q105" s="170"/>
      <c r="R105" s="170"/>
      <c r="S105" s="170"/>
      <c r="T105" s="170"/>
      <c r="U105" s="155"/>
      <c r="V105" s="170"/>
      <c r="W105" s="170"/>
      <c r="X105" s="155"/>
      <c r="Y105" s="155"/>
      <c r="Z105" s="155"/>
      <c r="AA105" s="155"/>
      <c r="AB105" s="161">
        <f t="shared" si="49"/>
        <v>0</v>
      </c>
      <c r="AC105" s="161"/>
      <c r="AD105" s="161">
        <f t="shared" si="50"/>
        <v>0</v>
      </c>
      <c r="AE105" s="161"/>
    </row>
    <row r="106" spans="1:38" s="466" customFormat="1">
      <c r="A106" s="166"/>
      <c r="B106" s="168" t="s">
        <v>864</v>
      </c>
      <c r="C106" s="159">
        <f t="shared" ref="C106:C110" si="52">D106+E106+I106+J106+K106</f>
        <v>6000</v>
      </c>
      <c r="D106" s="160"/>
      <c r="E106" s="160">
        <f t="shared" si="51"/>
        <v>6000</v>
      </c>
      <c r="F106" s="160">
        <v>6000</v>
      </c>
      <c r="G106" s="170"/>
      <c r="H106" s="170"/>
      <c r="I106" s="170"/>
      <c r="J106" s="170"/>
      <c r="K106" s="155"/>
      <c r="L106" s="170"/>
      <c r="M106" s="170"/>
      <c r="N106" s="155"/>
      <c r="O106" s="170"/>
      <c r="P106" s="170"/>
      <c r="Q106" s="170"/>
      <c r="R106" s="170"/>
      <c r="S106" s="170"/>
      <c r="T106" s="170"/>
      <c r="U106" s="155"/>
      <c r="V106" s="170"/>
      <c r="W106" s="170"/>
      <c r="X106" s="155"/>
      <c r="Y106" s="155"/>
      <c r="Z106" s="155"/>
      <c r="AA106" s="155"/>
      <c r="AB106" s="161">
        <f t="shared" si="49"/>
        <v>0</v>
      </c>
      <c r="AC106" s="161"/>
      <c r="AD106" s="161">
        <f t="shared" si="50"/>
        <v>0</v>
      </c>
      <c r="AE106" s="161"/>
    </row>
    <row r="107" spans="1:38" s="466" customFormat="1">
      <c r="A107" s="166"/>
      <c r="B107" s="168" t="s">
        <v>865</v>
      </c>
      <c r="C107" s="159">
        <f t="shared" si="52"/>
        <v>10000</v>
      </c>
      <c r="D107" s="160"/>
      <c r="E107" s="160">
        <f t="shared" si="51"/>
        <v>10000</v>
      </c>
      <c r="F107" s="160">
        <v>10000</v>
      </c>
      <c r="G107" s="170"/>
      <c r="H107" s="170"/>
      <c r="I107" s="170"/>
      <c r="J107" s="170"/>
      <c r="K107" s="155"/>
      <c r="L107" s="170"/>
      <c r="M107" s="170"/>
      <c r="N107" s="155"/>
      <c r="O107" s="170"/>
      <c r="P107" s="170"/>
      <c r="Q107" s="170"/>
      <c r="R107" s="170"/>
      <c r="S107" s="170"/>
      <c r="T107" s="170"/>
      <c r="U107" s="155"/>
      <c r="V107" s="170"/>
      <c r="W107" s="170"/>
      <c r="X107" s="155"/>
      <c r="Y107" s="155"/>
      <c r="Z107" s="155"/>
      <c r="AA107" s="155"/>
      <c r="AB107" s="161">
        <f t="shared" si="49"/>
        <v>0</v>
      </c>
      <c r="AC107" s="161"/>
      <c r="AD107" s="161">
        <f t="shared" si="50"/>
        <v>0</v>
      </c>
      <c r="AE107" s="161"/>
    </row>
    <row r="108" spans="1:38" s="466" customFormat="1">
      <c r="A108" s="166"/>
      <c r="B108" s="168" t="s">
        <v>878</v>
      </c>
      <c r="C108" s="159">
        <f t="shared" si="52"/>
        <v>15000</v>
      </c>
      <c r="D108" s="160"/>
      <c r="E108" s="160">
        <f t="shared" si="51"/>
        <v>15000</v>
      </c>
      <c r="F108" s="160">
        <v>15000</v>
      </c>
      <c r="G108" s="170"/>
      <c r="H108" s="170"/>
      <c r="I108" s="170"/>
      <c r="J108" s="170"/>
      <c r="K108" s="155"/>
      <c r="L108" s="170"/>
      <c r="M108" s="170"/>
      <c r="N108" s="155"/>
      <c r="O108" s="170"/>
      <c r="P108" s="170"/>
      <c r="Q108" s="170"/>
      <c r="R108" s="170"/>
      <c r="S108" s="170"/>
      <c r="T108" s="170"/>
      <c r="U108" s="155"/>
      <c r="V108" s="170"/>
      <c r="W108" s="170"/>
      <c r="X108" s="155"/>
      <c r="Y108" s="155"/>
      <c r="Z108" s="155"/>
      <c r="AA108" s="155"/>
      <c r="AB108" s="161">
        <f t="shared" si="49"/>
        <v>0</v>
      </c>
      <c r="AC108" s="161"/>
      <c r="AD108" s="161">
        <f t="shared" si="50"/>
        <v>0</v>
      </c>
      <c r="AE108" s="161"/>
    </row>
    <row r="109" spans="1:38" s="466" customFormat="1">
      <c r="A109" s="166"/>
      <c r="B109" s="168" t="s">
        <v>574</v>
      </c>
      <c r="C109" s="159">
        <f t="shared" si="52"/>
        <v>74090</v>
      </c>
      <c r="D109" s="160"/>
      <c r="E109" s="160">
        <f t="shared" si="51"/>
        <v>74090</v>
      </c>
      <c r="F109" s="160">
        <v>74090</v>
      </c>
      <c r="G109" s="170"/>
      <c r="H109" s="170"/>
      <c r="I109" s="170"/>
      <c r="J109" s="170"/>
      <c r="K109" s="155"/>
      <c r="L109" s="170"/>
      <c r="M109" s="170"/>
      <c r="N109" s="155"/>
      <c r="O109" s="170"/>
      <c r="P109" s="170"/>
      <c r="Q109" s="170"/>
      <c r="R109" s="170"/>
      <c r="S109" s="170"/>
      <c r="T109" s="170"/>
      <c r="U109" s="155"/>
      <c r="V109" s="170"/>
      <c r="W109" s="170"/>
      <c r="X109" s="155"/>
      <c r="Y109" s="155"/>
      <c r="Z109" s="155"/>
      <c r="AA109" s="155"/>
      <c r="AB109" s="161">
        <f t="shared" si="49"/>
        <v>0</v>
      </c>
      <c r="AC109" s="161"/>
      <c r="AD109" s="161">
        <f t="shared" si="50"/>
        <v>0</v>
      </c>
      <c r="AE109" s="161"/>
    </row>
    <row r="110" spans="1:38" s="466" customFormat="1">
      <c r="A110" s="166"/>
      <c r="B110" s="168" t="s">
        <v>589</v>
      </c>
      <c r="C110" s="159">
        <f t="shared" si="52"/>
        <v>6573</v>
      </c>
      <c r="D110" s="170"/>
      <c r="E110" s="160">
        <f t="shared" si="51"/>
        <v>6573</v>
      </c>
      <c r="F110" s="160">
        <v>6573</v>
      </c>
      <c r="G110" s="170"/>
      <c r="H110" s="170"/>
      <c r="I110" s="170"/>
      <c r="J110" s="170"/>
      <c r="K110" s="155"/>
      <c r="L110" s="170"/>
      <c r="M110" s="170"/>
      <c r="N110" s="155"/>
      <c r="O110" s="170"/>
      <c r="P110" s="170"/>
      <c r="Q110" s="170"/>
      <c r="R110" s="170"/>
      <c r="S110" s="170"/>
      <c r="T110" s="170"/>
      <c r="U110" s="155"/>
      <c r="V110" s="170"/>
      <c r="W110" s="170"/>
      <c r="X110" s="155"/>
      <c r="Y110" s="155"/>
      <c r="Z110" s="155"/>
      <c r="AA110" s="155"/>
      <c r="AB110" s="161">
        <f t="shared" si="49"/>
        <v>0</v>
      </c>
      <c r="AC110" s="161"/>
      <c r="AD110" s="161">
        <f t="shared" si="50"/>
        <v>0</v>
      </c>
      <c r="AE110" s="161"/>
    </row>
    <row r="111" spans="1:38" s="466" customFormat="1" ht="57.75" customHeight="1">
      <c r="A111" s="197" t="s">
        <v>37</v>
      </c>
      <c r="B111" s="198" t="s">
        <v>1091</v>
      </c>
      <c r="C111" s="155">
        <f t="shared" si="24"/>
        <v>1300</v>
      </c>
      <c r="D111" s="170"/>
      <c r="E111" s="170"/>
      <c r="F111" s="170"/>
      <c r="G111" s="170"/>
      <c r="H111" s="170"/>
      <c r="I111" s="170">
        <v>1300</v>
      </c>
      <c r="J111" s="170"/>
      <c r="K111" s="155">
        <f t="shared" si="26"/>
        <v>0</v>
      </c>
      <c r="L111" s="170"/>
      <c r="M111" s="170"/>
      <c r="N111" s="155">
        <f t="shared" ref="N111:N115" si="53">O111+P111+S111+T111+U111+X111</f>
        <v>18520.929</v>
      </c>
      <c r="O111" s="170"/>
      <c r="P111" s="170"/>
      <c r="Q111" s="170"/>
      <c r="R111" s="170"/>
      <c r="S111" s="170">
        <v>18520.929</v>
      </c>
      <c r="T111" s="170"/>
      <c r="U111" s="155">
        <f t="shared" ref="U111:U116" si="54">V111+W111</f>
        <v>0</v>
      </c>
      <c r="V111" s="170"/>
      <c r="W111" s="170"/>
      <c r="X111" s="155">
        <f>Y111+Z111</f>
        <v>0</v>
      </c>
      <c r="Y111" s="170"/>
      <c r="Z111" s="170"/>
      <c r="AA111" s="170"/>
      <c r="AB111" s="161"/>
      <c r="AC111" s="161"/>
      <c r="AD111" s="161"/>
      <c r="AE111" s="161"/>
    </row>
    <row r="112" spans="1:38" s="466" customFormat="1">
      <c r="A112" s="197" t="s">
        <v>39</v>
      </c>
      <c r="B112" s="198" t="s">
        <v>866</v>
      </c>
      <c r="C112" s="155">
        <f t="shared" si="24"/>
        <v>1000</v>
      </c>
      <c r="D112" s="170"/>
      <c r="E112" s="170"/>
      <c r="F112" s="170"/>
      <c r="G112" s="170"/>
      <c r="H112" s="170"/>
      <c r="I112" s="170"/>
      <c r="J112" s="155">
        <v>1000</v>
      </c>
      <c r="K112" s="155">
        <f t="shared" si="26"/>
        <v>0</v>
      </c>
      <c r="L112" s="170"/>
      <c r="M112" s="170"/>
      <c r="N112" s="155">
        <f t="shared" si="53"/>
        <v>1000</v>
      </c>
      <c r="O112" s="170"/>
      <c r="P112" s="170">
        <f>Q112+R112</f>
        <v>0</v>
      </c>
      <c r="Q112" s="170"/>
      <c r="R112" s="170"/>
      <c r="S112" s="170"/>
      <c r="T112" s="170">
        <v>1000</v>
      </c>
      <c r="U112" s="155">
        <f t="shared" si="54"/>
        <v>0</v>
      </c>
      <c r="V112" s="170"/>
      <c r="W112" s="170"/>
      <c r="X112" s="155">
        <f>Y112+Z112</f>
        <v>0</v>
      </c>
      <c r="Y112" s="170"/>
      <c r="Z112" s="170"/>
      <c r="AA112" s="170"/>
      <c r="AB112" s="161"/>
      <c r="AC112" s="161"/>
      <c r="AD112" s="161"/>
      <c r="AE112" s="161"/>
      <c r="AI112" s="187"/>
      <c r="AJ112" s="187"/>
      <c r="AK112" s="187"/>
      <c r="AL112" s="187"/>
    </row>
    <row r="113" spans="1:38" s="466" customFormat="1">
      <c r="A113" s="197" t="s">
        <v>40</v>
      </c>
      <c r="B113" s="198" t="s">
        <v>867</v>
      </c>
      <c r="C113" s="155">
        <f>D113+J113+I113+E113+K113</f>
        <v>66931</v>
      </c>
      <c r="D113" s="170"/>
      <c r="F113" s="170"/>
      <c r="G113" s="170"/>
      <c r="H113" s="170"/>
      <c r="I113" s="170"/>
      <c r="J113" s="170">
        <v>66931</v>
      </c>
      <c r="K113" s="155">
        <f t="shared" si="26"/>
        <v>0</v>
      </c>
      <c r="L113" s="170"/>
      <c r="M113" s="170"/>
      <c r="N113" s="155">
        <f t="shared" si="53"/>
        <v>0</v>
      </c>
      <c r="O113" s="170"/>
      <c r="P113" s="170"/>
      <c r="Q113" s="170"/>
      <c r="R113" s="170"/>
      <c r="S113" s="170"/>
      <c r="T113" s="170"/>
      <c r="U113" s="155">
        <f t="shared" si="54"/>
        <v>0</v>
      </c>
      <c r="V113" s="170"/>
      <c r="W113" s="170"/>
      <c r="X113" s="155">
        <f>Y113+Z113</f>
        <v>0</v>
      </c>
      <c r="Y113" s="170"/>
      <c r="Z113" s="170"/>
      <c r="AA113" s="170"/>
      <c r="AB113" s="161"/>
      <c r="AC113" s="161"/>
      <c r="AD113" s="161"/>
      <c r="AE113" s="161"/>
      <c r="AI113" s="187"/>
      <c r="AJ113" s="187"/>
      <c r="AK113" s="187"/>
      <c r="AL113" s="187"/>
    </row>
    <row r="114" spans="1:38" s="466" customFormat="1" ht="31.5">
      <c r="A114" s="197" t="s">
        <v>127</v>
      </c>
      <c r="B114" s="198" t="s">
        <v>1046</v>
      </c>
      <c r="C114" s="155">
        <f t="shared" si="24"/>
        <v>870945</v>
      </c>
      <c r="D114" s="170">
        <v>124127</v>
      </c>
      <c r="E114" s="170"/>
      <c r="F114" s="170"/>
      <c r="G114" s="170"/>
      <c r="H114" s="170"/>
      <c r="I114" s="170"/>
      <c r="J114" s="155">
        <f>891523-20578-124127</f>
        <v>746818</v>
      </c>
      <c r="K114" s="155">
        <f t="shared" si="26"/>
        <v>0</v>
      </c>
      <c r="L114" s="170"/>
      <c r="M114" s="170"/>
      <c r="N114" s="155">
        <f t="shared" si="53"/>
        <v>3298196.0079999999</v>
      </c>
      <c r="O114" s="170"/>
      <c r="P114" s="170"/>
      <c r="Q114" s="170"/>
      <c r="R114" s="170"/>
      <c r="S114" s="170"/>
      <c r="T114" s="170">
        <v>3298196.0079999999</v>
      </c>
      <c r="U114" s="155">
        <f t="shared" si="54"/>
        <v>0</v>
      </c>
      <c r="V114" s="170"/>
      <c r="W114" s="170"/>
      <c r="X114" s="155"/>
      <c r="Y114" s="170"/>
      <c r="Z114" s="170"/>
      <c r="AA114" s="170"/>
      <c r="AB114" s="161"/>
      <c r="AC114" s="161"/>
      <c r="AD114" s="161"/>
      <c r="AE114" s="161"/>
      <c r="AI114" s="187"/>
      <c r="AJ114" s="187"/>
      <c r="AK114" s="187"/>
      <c r="AL114" s="187"/>
    </row>
    <row r="115" spans="1:38" s="466" customFormat="1" ht="31.5">
      <c r="A115" s="199" t="s">
        <v>162</v>
      </c>
      <c r="B115" s="200" t="s">
        <v>769</v>
      </c>
      <c r="C115" s="171">
        <f t="shared" si="24"/>
        <v>0</v>
      </c>
      <c r="D115" s="172"/>
      <c r="E115" s="172"/>
      <c r="F115" s="172"/>
      <c r="G115" s="172"/>
      <c r="H115" s="172"/>
      <c r="I115" s="172"/>
      <c r="J115" s="172"/>
      <c r="K115" s="171">
        <f t="shared" si="26"/>
        <v>0</v>
      </c>
      <c r="L115" s="172"/>
      <c r="M115" s="172"/>
      <c r="N115" s="171">
        <f t="shared" si="53"/>
        <v>1859411.5550220001</v>
      </c>
      <c r="O115" s="172"/>
      <c r="P115" s="172"/>
      <c r="Q115" s="172"/>
      <c r="R115" s="172"/>
      <c r="S115" s="172"/>
      <c r="T115" s="172"/>
      <c r="U115" s="171">
        <f t="shared" si="54"/>
        <v>0</v>
      </c>
      <c r="V115" s="172"/>
      <c r="W115" s="172"/>
      <c r="X115" s="172">
        <v>1859411.5550220001</v>
      </c>
      <c r="Y115" s="172"/>
      <c r="Z115" s="172"/>
      <c r="AA115" s="172"/>
      <c r="AB115" s="161"/>
      <c r="AC115" s="161"/>
      <c r="AD115" s="161"/>
      <c r="AE115" s="161"/>
      <c r="AI115" s="187"/>
      <c r="AJ115" s="187"/>
      <c r="AK115" s="187"/>
      <c r="AL115" s="187"/>
    </row>
    <row r="116" spans="1:38">
      <c r="A116" s="201" t="s">
        <v>868</v>
      </c>
      <c r="B116" s="202" t="s">
        <v>770</v>
      </c>
      <c r="C116" s="173">
        <f t="shared" si="24"/>
        <v>0</v>
      </c>
      <c r="D116" s="174"/>
      <c r="E116" s="174"/>
      <c r="F116" s="174"/>
      <c r="G116" s="174"/>
      <c r="H116" s="174"/>
      <c r="I116" s="174"/>
      <c r="J116" s="174"/>
      <c r="K116" s="173">
        <f t="shared" si="26"/>
        <v>0</v>
      </c>
      <c r="L116" s="174"/>
      <c r="M116" s="174"/>
      <c r="N116" s="173">
        <f>O116+P116+S116+T116+U116+X116+AA116</f>
        <v>185107.980278</v>
      </c>
      <c r="O116" s="174"/>
      <c r="P116" s="174"/>
      <c r="Q116" s="174"/>
      <c r="R116" s="174"/>
      <c r="S116" s="174"/>
      <c r="T116" s="174"/>
      <c r="U116" s="173">
        <f t="shared" si="54"/>
        <v>0</v>
      </c>
      <c r="V116" s="174"/>
      <c r="W116" s="174"/>
      <c r="X116" s="174"/>
      <c r="Y116" s="174"/>
      <c r="Z116" s="174"/>
      <c r="AA116" s="174">
        <v>185107.980278</v>
      </c>
      <c r="AB116" s="417"/>
      <c r="AC116" s="417"/>
      <c r="AD116" s="417"/>
      <c r="AE116" s="417"/>
    </row>
    <row r="118" spans="1:38" ht="51" customHeight="1">
      <c r="B118" s="524"/>
      <c r="C118" s="524"/>
      <c r="D118" s="524"/>
      <c r="E118" s="524"/>
      <c r="F118" s="524"/>
      <c r="G118" s="524"/>
      <c r="H118" s="524"/>
      <c r="I118" s="524"/>
      <c r="J118" s="524"/>
      <c r="K118" s="524"/>
      <c r="L118" s="524"/>
      <c r="M118" s="524"/>
      <c r="N118" s="524"/>
      <c r="O118" s="524"/>
      <c r="P118" s="524"/>
      <c r="Q118" s="524"/>
      <c r="R118" s="524"/>
      <c r="S118" s="524"/>
      <c r="T118" s="524"/>
      <c r="U118" s="524"/>
      <c r="V118" s="524"/>
      <c r="W118" s="524"/>
      <c r="X118" s="524"/>
      <c r="Y118" s="524"/>
      <c r="Z118" s="524"/>
      <c r="AA118" s="524"/>
      <c r="AB118" s="524"/>
      <c r="AC118" s="524"/>
      <c r="AD118" s="524"/>
      <c r="AE118" s="524"/>
    </row>
    <row r="121" spans="1:38">
      <c r="N121" s="188"/>
    </row>
  </sheetData>
  <mergeCells count="34">
    <mergeCell ref="A7:A9"/>
    <mergeCell ref="B7:B9"/>
    <mergeCell ref="C7:M7"/>
    <mergeCell ref="N7:X7"/>
    <mergeCell ref="AB7:AE7"/>
    <mergeCell ref="Q8:R8"/>
    <mergeCell ref="C8:C9"/>
    <mergeCell ref="D8:D9"/>
    <mergeCell ref="E8:E9"/>
    <mergeCell ref="F8:F9"/>
    <mergeCell ref="G8:H8"/>
    <mergeCell ref="I8:I9"/>
    <mergeCell ref="J8:J9"/>
    <mergeCell ref="K8:M8"/>
    <mergeCell ref="N8:N9"/>
    <mergeCell ref="O8:O9"/>
    <mergeCell ref="B1:C1"/>
    <mergeCell ref="A3:AE3"/>
    <mergeCell ref="A4:AE4"/>
    <mergeCell ref="AB6:AC6"/>
    <mergeCell ref="AD6:AE6"/>
    <mergeCell ref="AD1:AE1"/>
    <mergeCell ref="B118:AE118"/>
    <mergeCell ref="P8:P9"/>
    <mergeCell ref="AB8:AB9"/>
    <mergeCell ref="AC8:AC9"/>
    <mergeCell ref="AD8:AD9"/>
    <mergeCell ref="AE8:AE9"/>
    <mergeCell ref="S8:S9"/>
    <mergeCell ref="T8:T9"/>
    <mergeCell ref="U8:W8"/>
    <mergeCell ref="X8:X9"/>
    <mergeCell ref="Y8:Z8"/>
    <mergeCell ref="AA8:AA9"/>
  </mergeCells>
  <phoneticPr fontId="242" type="noConversion"/>
  <dataValidations disablePrompts="1" count="6">
    <dataValidation allowBlank="1" showInputMessage="1" showErrorMessage="1" prompt="_x000a_" sqref="O36" xr:uid="{00000000-0002-0000-0700-000000000000}"/>
    <dataValidation allowBlank="1" showInputMessage="1" showErrorMessage="1" prompt="Theo TT 343 BTC các lĩnh vực  Công an tỉnh, Bộ chỉ huy quân sự tỉnh; Bộ chỉ huy biên phòng tỉnh, Ban Chỉ đạo phân giới, cắm mổc tỉnh (Việt nam - Lào), Ban chỉ đạo phân giới, cắm mổc tỉnh (Viêt nam - Cam Pu Chia) không công khai QT" sqref="WVQ982894 C65390 JE65390 TA65390 ACW65390 AMS65390 AWO65390 BGK65390 BQG65390 CAC65390 CJY65390 CTU65390 DDQ65390 DNM65390 DXI65390 EHE65390 ERA65390 FAW65390 FKS65390 FUO65390 GEK65390 GOG65390 GYC65390 HHY65390 HRU65390 IBQ65390 ILM65390 IVI65390 JFE65390 JPA65390 JYW65390 KIS65390 KSO65390 LCK65390 LMG65390 LWC65390 MFY65390 MPU65390 MZQ65390 NJM65390 NTI65390 ODE65390 ONA65390 OWW65390 PGS65390 PQO65390 QAK65390 QKG65390 QUC65390 RDY65390 RNU65390 RXQ65390 SHM65390 SRI65390 TBE65390 TLA65390 TUW65390 UES65390 UOO65390 UYK65390 VIG65390 VSC65390 WBY65390 WLU65390 WVQ65390 C130926 JE130926 TA130926 ACW130926 AMS130926 AWO130926 BGK130926 BQG130926 CAC130926 CJY130926 CTU130926 DDQ130926 DNM130926 DXI130926 EHE130926 ERA130926 FAW130926 FKS130926 FUO130926 GEK130926 GOG130926 GYC130926 HHY130926 HRU130926 IBQ130926 ILM130926 IVI130926 JFE130926 JPA130926 JYW130926 KIS130926 KSO130926 LCK130926 LMG130926 LWC130926 MFY130926 MPU130926 MZQ130926 NJM130926 NTI130926 ODE130926 ONA130926 OWW130926 PGS130926 PQO130926 QAK130926 QKG130926 QUC130926 RDY130926 RNU130926 RXQ130926 SHM130926 SRI130926 TBE130926 TLA130926 TUW130926 UES130926 UOO130926 UYK130926 VIG130926 VSC130926 WBY130926 WLU130926 WVQ130926 C196462 JE196462 TA196462 ACW196462 AMS196462 AWO196462 BGK196462 BQG196462 CAC196462 CJY196462 CTU196462 DDQ196462 DNM196462 DXI196462 EHE196462 ERA196462 FAW196462 FKS196462 FUO196462 GEK196462 GOG196462 GYC196462 HHY196462 HRU196462 IBQ196462 ILM196462 IVI196462 JFE196462 JPA196462 JYW196462 KIS196462 KSO196462 LCK196462 LMG196462 LWC196462 MFY196462 MPU196462 MZQ196462 NJM196462 NTI196462 ODE196462 ONA196462 OWW196462 PGS196462 PQO196462 QAK196462 QKG196462 QUC196462 RDY196462 RNU196462 RXQ196462 SHM196462 SRI196462 TBE196462 TLA196462 TUW196462 UES196462 UOO196462 UYK196462 VIG196462 VSC196462 WBY196462 WLU196462 WVQ196462 C261998 JE261998 TA261998 ACW261998 AMS261998 AWO261998 BGK261998 BQG261998 CAC261998 CJY261998 CTU261998 DDQ261998 DNM261998 DXI261998 EHE261998 ERA261998 FAW261998 FKS261998 FUO261998 GEK261998 GOG261998 GYC261998 HHY261998 HRU261998 IBQ261998 ILM261998 IVI261998 JFE261998 JPA261998 JYW261998 KIS261998 KSO261998 LCK261998 LMG261998 LWC261998 MFY261998 MPU261998 MZQ261998 NJM261998 NTI261998 ODE261998 ONA261998 OWW261998 PGS261998 PQO261998 QAK261998 QKG261998 QUC261998 RDY261998 RNU261998 RXQ261998 SHM261998 SRI261998 TBE261998 TLA261998 TUW261998 UES261998 UOO261998 UYK261998 VIG261998 VSC261998 WBY261998 WLU261998 WVQ261998 C327534 JE327534 TA327534 ACW327534 AMS327534 AWO327534 BGK327534 BQG327534 CAC327534 CJY327534 CTU327534 DDQ327534 DNM327534 DXI327534 EHE327534 ERA327534 FAW327534 FKS327534 FUO327534 GEK327534 GOG327534 GYC327534 HHY327534 HRU327534 IBQ327534 ILM327534 IVI327534 JFE327534 JPA327534 JYW327534 KIS327534 KSO327534 LCK327534 LMG327534 LWC327534 MFY327534 MPU327534 MZQ327534 NJM327534 NTI327534 ODE327534 ONA327534 OWW327534 PGS327534 PQO327534 QAK327534 QKG327534 QUC327534 RDY327534 RNU327534 RXQ327534 SHM327534 SRI327534 TBE327534 TLA327534 TUW327534 UES327534 UOO327534 UYK327534 VIG327534 VSC327534 WBY327534 WLU327534 WVQ327534 C393070 JE393070 TA393070 ACW393070 AMS393070 AWO393070 BGK393070 BQG393070 CAC393070 CJY393070 CTU393070 DDQ393070 DNM393070 DXI393070 EHE393070 ERA393070 FAW393070 FKS393070 FUO393070 GEK393070 GOG393070 GYC393070 HHY393070 HRU393070 IBQ393070 ILM393070 IVI393070 JFE393070 JPA393070 JYW393070 KIS393070 KSO393070 LCK393070 LMG393070 LWC393070 MFY393070 MPU393070 MZQ393070 NJM393070 NTI393070 ODE393070 ONA393070 OWW393070 PGS393070 PQO393070 QAK393070 QKG393070 QUC393070 RDY393070 RNU393070 RXQ393070 SHM393070 SRI393070 TBE393070 TLA393070 TUW393070 UES393070 UOO393070 UYK393070 VIG393070 VSC393070 WBY393070 WLU393070 WVQ393070 C458606 JE458606 TA458606 ACW458606 AMS458606 AWO458606 BGK458606 BQG458606 CAC458606 CJY458606 CTU458606 DDQ458606 DNM458606 DXI458606 EHE458606 ERA458606 FAW458606 FKS458606 FUO458606 GEK458606 GOG458606 GYC458606 HHY458606 HRU458606 IBQ458606 ILM458606 IVI458606 JFE458606 JPA458606 JYW458606 KIS458606 KSO458606 LCK458606 LMG458606 LWC458606 MFY458606 MPU458606 MZQ458606 NJM458606 NTI458606 ODE458606 ONA458606 OWW458606 PGS458606 PQO458606 QAK458606 QKG458606 QUC458606 RDY458606 RNU458606 RXQ458606 SHM458606 SRI458606 TBE458606 TLA458606 TUW458606 UES458606 UOO458606 UYK458606 VIG458606 VSC458606 WBY458606 WLU458606 WVQ458606 C524142 JE524142 TA524142 ACW524142 AMS524142 AWO524142 BGK524142 BQG524142 CAC524142 CJY524142 CTU524142 DDQ524142 DNM524142 DXI524142 EHE524142 ERA524142 FAW524142 FKS524142 FUO524142 GEK524142 GOG524142 GYC524142 HHY524142 HRU524142 IBQ524142 ILM524142 IVI524142 JFE524142 JPA524142 JYW524142 KIS524142 KSO524142 LCK524142 LMG524142 LWC524142 MFY524142 MPU524142 MZQ524142 NJM524142 NTI524142 ODE524142 ONA524142 OWW524142 PGS524142 PQO524142 QAK524142 QKG524142 QUC524142 RDY524142 RNU524142 RXQ524142 SHM524142 SRI524142 TBE524142 TLA524142 TUW524142 UES524142 UOO524142 UYK524142 VIG524142 VSC524142 WBY524142 WLU524142 WVQ524142 C589678 JE589678 TA589678 ACW589678 AMS589678 AWO589678 BGK589678 BQG589678 CAC589678 CJY589678 CTU589678 DDQ589678 DNM589678 DXI589678 EHE589678 ERA589678 FAW589678 FKS589678 FUO589678 GEK589678 GOG589678 GYC589678 HHY589678 HRU589678 IBQ589678 ILM589678 IVI589678 JFE589678 JPA589678 JYW589678 KIS589678 KSO589678 LCK589678 LMG589678 LWC589678 MFY589678 MPU589678 MZQ589678 NJM589678 NTI589678 ODE589678 ONA589678 OWW589678 PGS589678 PQO589678 QAK589678 QKG589678 QUC589678 RDY589678 RNU589678 RXQ589678 SHM589678 SRI589678 TBE589678 TLA589678 TUW589678 UES589678 UOO589678 UYK589678 VIG589678 VSC589678 WBY589678 WLU589678 WVQ589678 C655214 JE655214 TA655214 ACW655214 AMS655214 AWO655214 BGK655214 BQG655214 CAC655214 CJY655214 CTU655214 DDQ655214 DNM655214 DXI655214 EHE655214 ERA655214 FAW655214 FKS655214 FUO655214 GEK655214 GOG655214 GYC655214 HHY655214 HRU655214 IBQ655214 ILM655214 IVI655214 JFE655214 JPA655214 JYW655214 KIS655214 KSO655214 LCK655214 LMG655214 LWC655214 MFY655214 MPU655214 MZQ655214 NJM655214 NTI655214 ODE655214 ONA655214 OWW655214 PGS655214 PQO655214 QAK655214 QKG655214 QUC655214 RDY655214 RNU655214 RXQ655214 SHM655214 SRI655214 TBE655214 TLA655214 TUW655214 UES655214 UOO655214 UYK655214 VIG655214 VSC655214 WBY655214 WLU655214 WVQ655214 C720750 JE720750 TA720750 ACW720750 AMS720750 AWO720750 BGK720750 BQG720750 CAC720750 CJY720750 CTU720750 DDQ720750 DNM720750 DXI720750 EHE720750 ERA720750 FAW720750 FKS720750 FUO720750 GEK720750 GOG720750 GYC720750 HHY720750 HRU720750 IBQ720750 ILM720750 IVI720750 JFE720750 JPA720750 JYW720750 KIS720750 KSO720750 LCK720750 LMG720750 LWC720750 MFY720750 MPU720750 MZQ720750 NJM720750 NTI720750 ODE720750 ONA720750 OWW720750 PGS720750 PQO720750 QAK720750 QKG720750 QUC720750 RDY720750 RNU720750 RXQ720750 SHM720750 SRI720750 TBE720750 TLA720750 TUW720750 UES720750 UOO720750 UYK720750 VIG720750 VSC720750 WBY720750 WLU720750 WVQ720750 C786286 JE786286 TA786286 ACW786286 AMS786286 AWO786286 BGK786286 BQG786286 CAC786286 CJY786286 CTU786286 DDQ786286 DNM786286 DXI786286 EHE786286 ERA786286 FAW786286 FKS786286 FUO786286 GEK786286 GOG786286 GYC786286 HHY786286 HRU786286 IBQ786286 ILM786286 IVI786286 JFE786286 JPA786286 JYW786286 KIS786286 KSO786286 LCK786286 LMG786286 LWC786286 MFY786286 MPU786286 MZQ786286 NJM786286 NTI786286 ODE786286 ONA786286 OWW786286 PGS786286 PQO786286 QAK786286 QKG786286 QUC786286 RDY786286 RNU786286 RXQ786286 SHM786286 SRI786286 TBE786286 TLA786286 TUW786286 UES786286 UOO786286 UYK786286 VIG786286 VSC786286 WBY786286 WLU786286 WVQ786286 C851822 JE851822 TA851822 ACW851822 AMS851822 AWO851822 BGK851822 BQG851822 CAC851822 CJY851822 CTU851822 DDQ851822 DNM851822 DXI851822 EHE851822 ERA851822 FAW851822 FKS851822 FUO851822 GEK851822 GOG851822 GYC851822 HHY851822 HRU851822 IBQ851822 ILM851822 IVI851822 JFE851822 JPA851822 JYW851822 KIS851822 KSO851822 LCK851822 LMG851822 LWC851822 MFY851822 MPU851822 MZQ851822 NJM851822 NTI851822 ODE851822 ONA851822 OWW851822 PGS851822 PQO851822 QAK851822 QKG851822 QUC851822 RDY851822 RNU851822 RXQ851822 SHM851822 SRI851822 TBE851822 TLA851822 TUW851822 UES851822 UOO851822 UYK851822 VIG851822 VSC851822 WBY851822 WLU851822 WVQ851822 C917358 JE917358 TA917358 ACW917358 AMS917358 AWO917358 BGK917358 BQG917358 CAC917358 CJY917358 CTU917358 DDQ917358 DNM917358 DXI917358 EHE917358 ERA917358 FAW917358 FKS917358 FUO917358 GEK917358 GOG917358 GYC917358 HHY917358 HRU917358 IBQ917358 ILM917358 IVI917358 JFE917358 JPA917358 JYW917358 KIS917358 KSO917358 LCK917358 LMG917358 LWC917358 MFY917358 MPU917358 MZQ917358 NJM917358 NTI917358 ODE917358 ONA917358 OWW917358 PGS917358 PQO917358 QAK917358 QKG917358 QUC917358 RDY917358 RNU917358 RXQ917358 SHM917358 SRI917358 TBE917358 TLA917358 TUW917358 UES917358 UOO917358 UYK917358 VIG917358 VSC917358 WBY917358 WLU917358 WVQ917358 C982894 JE982894 TA982894 ACW982894 AMS982894 AWO982894 BGK982894 BQG982894 CAC982894 CJY982894 CTU982894 DDQ982894 DNM982894 DXI982894 EHE982894 ERA982894 FAW982894 FKS982894 FUO982894 GEK982894 GOG982894 GYC982894 HHY982894 HRU982894 IBQ982894 ILM982894 IVI982894 JFE982894 JPA982894 JYW982894 KIS982894 KSO982894 LCK982894 LMG982894 LWC982894 MFY982894 MPU982894 MZQ982894 NJM982894 NTI982894 ODE982894 ONA982894 OWW982894 PGS982894 PQO982894 QAK982894 QKG982894 QUC982894 RDY982894 RNU982894 RXQ982894 SHM982894 SRI982894 TBE982894 TLA982894 TUW982894 UES982894 UOO982894 UYK982894 VIG982894 VSC982894 WBY982894 WLU982894 WLU13:WLU90 WVQ13:WVQ90 JE13:JE90 TA13:TA90 ACW13:ACW90 AMS13:AMS90 AWO13:AWO90 BGK13:BGK90 BQG13:BQG90 CAC13:CAC90 CJY13:CJY90 CTU13:CTU90 DDQ13:DDQ90 DNM13:DNM90 DXI13:DXI90 EHE13:EHE90 ERA13:ERA90 FAW13:FAW90 FKS13:FKS90 FUO13:FUO90 GEK13:GEK90 GOG13:GOG90 GYC13:GYC90 HHY13:HHY90 HRU13:HRU90 IBQ13:IBQ90 ILM13:ILM90 IVI13:IVI90 JFE13:JFE90 JPA13:JPA90 JYW13:JYW90 KIS13:KIS90 KSO13:KSO90 LCK13:LCK90 LMG13:LMG90 LWC13:LWC90 MFY13:MFY90 MPU13:MPU90 MZQ13:MZQ90 NJM13:NJM90 NTI13:NTI90 ODE13:ODE90 ONA13:ONA90 OWW13:OWW90 PGS13:PGS90 PQO13:PQO90 QAK13:QAK90 QKG13:QKG90 QUC13:QUC90 RDY13:RDY90 RNU13:RNU90 RXQ13:RXQ90 SHM13:SHM90 SRI13:SRI90 TBE13:TBE90 TLA13:TLA90 TUW13:TUW90 UES13:UES90 UOO13:UOO90 UYK13:UYK90 VIG13:VIG90 VSC13:VSC90 WBY13:WBY90" xr:uid="{00000000-0002-0000-0700-000001000000}"/>
    <dataValidation allowBlank="1" showInputMessage="1" showErrorMessage="1" prompt="Bao gồm: tăng 300tr. đồng Ghi thu ghi chi quyền sử dụng đất khai thác quỹ đất khu phía Nam cầu Đăk bla (Thường xuyên)" sqref="R71" xr:uid="{00000000-0002-0000-0700-000002000000}"/>
    <dataValidation allowBlank="1" showInputMessage="1" showErrorMessage="1" prompt="Bao gồm Văn phòng điều phối CT MTQG NTM" sqref="M14" xr:uid="{00000000-0002-0000-0700-000003000000}"/>
    <dataValidation allowBlank="1" showInputMessage="1" showErrorMessage="1" prompt="Bộ Quốc phòng_x000a_" sqref="Q43" xr:uid="{00000000-0002-0000-0700-000004000000}"/>
    <dataValidation allowBlank="1" showInputMessage="1" showErrorMessage="1" prompt="Bao gồm cả BS cân đối để khớp với tổng chi NS tỉnh" sqref="T114" xr:uid="{00000000-0002-0000-0700-000005000000}"/>
  </dataValidations>
  <printOptions horizontalCentered="1"/>
  <pageMargins left="0" right="0" top="0.47244094488188981" bottom="0.51181102362204722" header="0.31496062992125984" footer="0"/>
  <pageSetup paperSize="9" scale="41" orientation="landscape" r:id="rId1"/>
  <headerFooter>
    <oddFooter>&amp;R&amp;P/&amp;N</oddFooter>
  </headerFooter>
  <colBreaks count="1" manualBreakCount="1">
    <brk id="27"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C367"/>
  <sheetViews>
    <sheetView showZeros="0" zoomScaleNormal="100" workbookViewId="0">
      <pane xSplit="3" ySplit="12" topLeftCell="G167" activePane="bottomRight" state="frozen"/>
      <selection pane="topRight" activeCell="D1" sqref="D1"/>
      <selection pane="bottomLeft" activeCell="A12" sqref="A12"/>
      <selection pane="bottomRight" activeCell="A12" sqref="A12"/>
    </sheetView>
  </sheetViews>
  <sheetFormatPr defaultColWidth="9.125" defaultRowHeight="12.75" outlineLevelRow="1" outlineLevelCol="1"/>
  <cols>
    <col min="1" max="1" width="5.625" style="24" customWidth="1"/>
    <col min="2" max="2" width="29.125" style="25" customWidth="1"/>
    <col min="3" max="3" width="9.125" style="26" hidden="1" customWidth="1" outlineLevel="1"/>
    <col min="4" max="4" width="12.125" style="26" hidden="1" customWidth="1" outlineLevel="1"/>
    <col min="5" max="5" width="12" style="26" customWidth="1" collapsed="1"/>
    <col min="6" max="6" width="10.25" style="26" bestFit="1" customWidth="1"/>
    <col min="7" max="7" width="10.875" style="26" customWidth="1"/>
    <col min="8" max="8" width="10.75" style="26" hidden="1" customWidth="1" outlineLevel="1"/>
    <col min="9" max="11" width="9.125" style="26" hidden="1" customWidth="1" outlineLevel="1"/>
    <col min="12" max="12" width="10" style="26" hidden="1" customWidth="1" outlineLevel="1"/>
    <col min="13" max="16" width="9.125" style="26" hidden="1" customWidth="1" outlineLevel="1"/>
    <col min="17" max="17" width="10.75" style="26" hidden="1" customWidth="1" outlineLevel="1"/>
    <col min="18" max="20" width="9.125" style="26" hidden="1" customWidth="1" outlineLevel="1"/>
    <col min="21" max="21" width="9.125" style="26" hidden="1" customWidth="1" outlineLevel="1" collapsed="1"/>
    <col min="22" max="22" width="10" style="26" hidden="1" customWidth="1" outlineLevel="1"/>
    <col min="23" max="23" width="9.125" style="26" hidden="1" customWidth="1" outlineLevel="1"/>
    <col min="24" max="24" width="5.75" style="26" hidden="1" customWidth="1" outlineLevel="1"/>
    <col min="25" max="25" width="9.125" style="26" collapsed="1"/>
    <col min="26" max="26" width="7.875" style="26" customWidth="1" collapsed="1"/>
    <col min="27" max="29" width="9.125" style="26"/>
    <col min="30" max="30" width="12" style="26" customWidth="1" collapsed="1"/>
    <col min="31" max="31" width="10.25" style="26" bestFit="1" customWidth="1"/>
    <col min="32" max="32" width="9.125" style="26"/>
    <col min="33" max="45" width="9.125" style="26" hidden="1" customWidth="1" outlineLevel="1"/>
    <col min="46" max="46" width="9.125" style="26" hidden="1" customWidth="1" outlineLevel="1" collapsed="1"/>
    <col min="47" max="49" width="9.125" style="26" hidden="1" customWidth="1" outlineLevel="1"/>
    <col min="50" max="50" width="9.125" style="26" collapsed="1"/>
    <col min="51" max="51" width="7.875" style="26" customWidth="1" collapsed="1"/>
    <col min="52" max="16384" width="9.125" style="26"/>
  </cols>
  <sheetData>
    <row r="1" spans="1:55" s="19" customFormat="1" ht="15">
      <c r="A1" s="18" t="s">
        <v>448</v>
      </c>
      <c r="E1" s="20"/>
      <c r="V1" s="19">
        <v>347305</v>
      </c>
      <c r="W1" s="19">
        <f>27350+11853</f>
        <v>39203</v>
      </c>
      <c r="AD1" s="20"/>
      <c r="AU1" s="19">
        <v>347305</v>
      </c>
      <c r="AV1" s="19">
        <f>27350+11853</f>
        <v>39203</v>
      </c>
    </row>
    <row r="2" spans="1:55" s="19" customFormat="1" ht="15">
      <c r="A2" s="21"/>
      <c r="E2" s="22"/>
      <c r="V2" s="23">
        <f>V1-V95</f>
        <v>347305</v>
      </c>
      <c r="W2" s="23">
        <f>W1-U13</f>
        <v>39203</v>
      </c>
      <c r="AD2" s="22"/>
      <c r="AU2" s="23">
        <f>AU1-AU95</f>
        <v>347305</v>
      </c>
      <c r="AV2" s="23">
        <f>AV1-AT13</f>
        <v>39203</v>
      </c>
    </row>
    <row r="3" spans="1:55" s="19" customFormat="1" ht="15">
      <c r="A3" s="545" t="s">
        <v>873</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c r="AS3" s="545"/>
      <c r="AT3" s="545"/>
      <c r="AU3" s="545"/>
      <c r="AV3" s="545"/>
      <c r="AW3" s="545"/>
      <c r="AX3" s="545"/>
      <c r="AY3" s="545"/>
      <c r="AZ3" s="545"/>
      <c r="BA3" s="545"/>
      <c r="BB3" s="545"/>
    </row>
    <row r="4" spans="1:55" s="19" customFormat="1" ht="15">
      <c r="A4" s="526" t="s">
        <v>449</v>
      </c>
      <c r="B4" s="526"/>
      <c r="C4" s="526"/>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row>
    <row r="5" spans="1:55">
      <c r="F5" s="27"/>
      <c r="L5" s="28" t="s">
        <v>63</v>
      </c>
      <c r="AC5" s="26" t="s">
        <v>450</v>
      </c>
      <c r="AE5" s="27"/>
      <c r="AK5" s="28" t="s">
        <v>63</v>
      </c>
    </row>
    <row r="6" spans="1:55" ht="12.75" hidden="1" customHeight="1" outlineLevel="1">
      <c r="B6" s="26"/>
      <c r="C6" s="564" t="s">
        <v>451</v>
      </c>
      <c r="D6" s="565" t="s">
        <v>452</v>
      </c>
      <c r="E6" s="565"/>
      <c r="F6" s="565"/>
      <c r="G6" s="565"/>
      <c r="H6" s="565"/>
      <c r="I6" s="565"/>
      <c r="J6" s="565"/>
      <c r="K6" s="565"/>
      <c r="L6" s="565"/>
      <c r="M6" s="565"/>
      <c r="N6" s="565"/>
      <c r="O6" s="565"/>
      <c r="P6" s="565"/>
      <c r="Q6" s="565"/>
      <c r="R6" s="565"/>
      <c r="S6" s="565"/>
      <c r="T6" s="565"/>
      <c r="U6" s="565"/>
      <c r="V6" s="565"/>
      <c r="W6" s="565"/>
      <c r="X6" s="565"/>
      <c r="Y6" s="565"/>
      <c r="Z6" s="565"/>
      <c r="AA6" s="565"/>
      <c r="AB6" s="565"/>
      <c r="AC6" s="565"/>
      <c r="AD6" s="29"/>
    </row>
    <row r="7" spans="1:55" ht="15" customHeight="1" outlineLevel="1">
      <c r="A7" s="554" t="s">
        <v>16</v>
      </c>
      <c r="B7" s="546" t="s">
        <v>453</v>
      </c>
      <c r="C7" s="564"/>
      <c r="D7" s="30"/>
      <c r="E7" s="551" t="s">
        <v>665</v>
      </c>
      <c r="F7" s="552"/>
      <c r="G7" s="552"/>
      <c r="H7" s="552"/>
      <c r="I7" s="552"/>
      <c r="J7" s="552"/>
      <c r="K7" s="552"/>
      <c r="L7" s="552"/>
      <c r="M7" s="552"/>
      <c r="N7" s="552"/>
      <c r="O7" s="552"/>
      <c r="P7" s="552"/>
      <c r="Q7" s="552"/>
      <c r="R7" s="552"/>
      <c r="S7" s="552"/>
      <c r="T7" s="552"/>
      <c r="U7" s="552"/>
      <c r="V7" s="552"/>
      <c r="W7" s="552"/>
      <c r="X7" s="552"/>
      <c r="Y7" s="552"/>
      <c r="Z7" s="552"/>
      <c r="AA7" s="552"/>
      <c r="AB7" s="552"/>
      <c r="AC7" s="553"/>
      <c r="AD7" s="551" t="s">
        <v>19</v>
      </c>
      <c r="AE7" s="552"/>
      <c r="AF7" s="552"/>
      <c r="AG7" s="552"/>
      <c r="AH7" s="552"/>
      <c r="AI7" s="552"/>
      <c r="AJ7" s="552"/>
      <c r="AK7" s="552"/>
      <c r="AL7" s="552"/>
      <c r="AM7" s="552"/>
      <c r="AN7" s="552"/>
      <c r="AO7" s="552"/>
      <c r="AP7" s="552"/>
      <c r="AQ7" s="552"/>
      <c r="AR7" s="552"/>
      <c r="AS7" s="552"/>
      <c r="AT7" s="552"/>
      <c r="AU7" s="552"/>
      <c r="AV7" s="552"/>
      <c r="AW7" s="552"/>
      <c r="AX7" s="552"/>
      <c r="AY7" s="552"/>
      <c r="AZ7" s="552"/>
      <c r="BA7" s="552"/>
      <c r="BB7" s="553"/>
    </row>
    <row r="8" spans="1:55" ht="12.75" customHeight="1">
      <c r="A8" s="554"/>
      <c r="B8" s="546"/>
      <c r="C8" s="564"/>
      <c r="D8" s="548" t="s">
        <v>454</v>
      </c>
      <c r="E8" s="554" t="s">
        <v>158</v>
      </c>
      <c r="F8" s="548" t="s">
        <v>654</v>
      </c>
      <c r="G8" s="546" t="s">
        <v>655</v>
      </c>
      <c r="H8" s="561" t="s">
        <v>164</v>
      </c>
      <c r="I8" s="562"/>
      <c r="J8" s="562"/>
      <c r="K8" s="562"/>
      <c r="L8" s="562"/>
      <c r="M8" s="562"/>
      <c r="N8" s="562"/>
      <c r="O8" s="562"/>
      <c r="P8" s="562"/>
      <c r="Q8" s="562"/>
      <c r="R8" s="562"/>
      <c r="S8" s="562"/>
      <c r="T8" s="562"/>
      <c r="U8" s="562"/>
      <c r="V8" s="562"/>
      <c r="W8" s="562"/>
      <c r="X8" s="563"/>
      <c r="Y8" s="548" t="s">
        <v>455</v>
      </c>
      <c r="Z8" s="548" t="s">
        <v>456</v>
      </c>
      <c r="AA8" s="555" t="s">
        <v>468</v>
      </c>
      <c r="AB8" s="556"/>
      <c r="AC8" s="557"/>
      <c r="AD8" s="554" t="s">
        <v>158</v>
      </c>
      <c r="AE8" s="548" t="s">
        <v>654</v>
      </c>
      <c r="AF8" s="546" t="s">
        <v>655</v>
      </c>
      <c r="AG8" s="561" t="s">
        <v>164</v>
      </c>
      <c r="AH8" s="562"/>
      <c r="AI8" s="562"/>
      <c r="AJ8" s="562"/>
      <c r="AK8" s="562"/>
      <c r="AL8" s="562"/>
      <c r="AM8" s="562"/>
      <c r="AN8" s="562"/>
      <c r="AO8" s="562"/>
      <c r="AP8" s="562"/>
      <c r="AQ8" s="562"/>
      <c r="AR8" s="562"/>
      <c r="AS8" s="562"/>
      <c r="AT8" s="562"/>
      <c r="AU8" s="562"/>
      <c r="AV8" s="562"/>
      <c r="AW8" s="563"/>
      <c r="AX8" s="548" t="s">
        <v>455</v>
      </c>
      <c r="AY8" s="548" t="s">
        <v>456</v>
      </c>
      <c r="AZ8" s="555" t="s">
        <v>468</v>
      </c>
      <c r="BA8" s="556"/>
      <c r="BB8" s="557"/>
    </row>
    <row r="9" spans="1:55" ht="12.75" customHeight="1">
      <c r="A9" s="554"/>
      <c r="B9" s="546"/>
      <c r="C9" s="564"/>
      <c r="D9" s="549"/>
      <c r="E9" s="554"/>
      <c r="F9" s="549"/>
      <c r="G9" s="546"/>
      <c r="H9" s="546" t="s">
        <v>457</v>
      </c>
      <c r="I9" s="546" t="s">
        <v>458</v>
      </c>
      <c r="J9" s="546" t="s">
        <v>135</v>
      </c>
      <c r="K9" s="546" t="s">
        <v>459</v>
      </c>
      <c r="L9" s="546" t="s">
        <v>460</v>
      </c>
      <c r="M9" s="546" t="s">
        <v>461</v>
      </c>
      <c r="N9" s="546" t="s">
        <v>462</v>
      </c>
      <c r="O9" s="546" t="s">
        <v>463</v>
      </c>
      <c r="P9" s="546" t="s">
        <v>141</v>
      </c>
      <c r="Q9" s="546" t="s">
        <v>464</v>
      </c>
      <c r="R9" s="547" t="s">
        <v>164</v>
      </c>
      <c r="S9" s="547"/>
      <c r="T9" s="547"/>
      <c r="U9" s="546" t="s">
        <v>465</v>
      </c>
      <c r="V9" s="546" t="s">
        <v>466</v>
      </c>
      <c r="W9" s="546" t="s">
        <v>467</v>
      </c>
      <c r="X9" s="548" t="s">
        <v>147</v>
      </c>
      <c r="Y9" s="549"/>
      <c r="Z9" s="549"/>
      <c r="AA9" s="558"/>
      <c r="AB9" s="559"/>
      <c r="AC9" s="560"/>
      <c r="AD9" s="554"/>
      <c r="AE9" s="549"/>
      <c r="AF9" s="546"/>
      <c r="AG9" s="546" t="s">
        <v>457</v>
      </c>
      <c r="AH9" s="546" t="s">
        <v>458</v>
      </c>
      <c r="AI9" s="546" t="s">
        <v>135</v>
      </c>
      <c r="AJ9" s="546" t="s">
        <v>459</v>
      </c>
      <c r="AK9" s="546" t="s">
        <v>460</v>
      </c>
      <c r="AL9" s="546" t="s">
        <v>461</v>
      </c>
      <c r="AM9" s="546" t="s">
        <v>462</v>
      </c>
      <c r="AN9" s="546" t="s">
        <v>463</v>
      </c>
      <c r="AO9" s="546" t="s">
        <v>141</v>
      </c>
      <c r="AP9" s="546" t="s">
        <v>464</v>
      </c>
      <c r="AQ9" s="547" t="s">
        <v>164</v>
      </c>
      <c r="AR9" s="547"/>
      <c r="AS9" s="547"/>
      <c r="AT9" s="546" t="s">
        <v>465</v>
      </c>
      <c r="AU9" s="546" t="s">
        <v>466</v>
      </c>
      <c r="AV9" s="546" t="s">
        <v>467</v>
      </c>
      <c r="AW9" s="548" t="s">
        <v>147</v>
      </c>
      <c r="AX9" s="549"/>
      <c r="AY9" s="549"/>
      <c r="AZ9" s="558"/>
      <c r="BA9" s="559"/>
      <c r="BB9" s="560"/>
    </row>
    <row r="10" spans="1:55" ht="12.75" customHeight="1">
      <c r="A10" s="554"/>
      <c r="B10" s="546"/>
      <c r="C10" s="564"/>
      <c r="D10" s="549"/>
      <c r="E10" s="554"/>
      <c r="F10" s="549"/>
      <c r="G10" s="546"/>
      <c r="H10" s="546"/>
      <c r="I10" s="546"/>
      <c r="J10" s="546"/>
      <c r="K10" s="546"/>
      <c r="L10" s="546"/>
      <c r="M10" s="546"/>
      <c r="N10" s="546"/>
      <c r="O10" s="546"/>
      <c r="P10" s="546"/>
      <c r="Q10" s="546"/>
      <c r="R10" s="547" t="s">
        <v>469</v>
      </c>
      <c r="S10" s="547" t="s">
        <v>470</v>
      </c>
      <c r="T10" s="547" t="s">
        <v>471</v>
      </c>
      <c r="U10" s="546"/>
      <c r="V10" s="546" t="s">
        <v>472</v>
      </c>
      <c r="W10" s="546"/>
      <c r="X10" s="549"/>
      <c r="Y10" s="549"/>
      <c r="Z10" s="549"/>
      <c r="AA10" s="546" t="s">
        <v>158</v>
      </c>
      <c r="AB10" s="548" t="s">
        <v>43</v>
      </c>
      <c r="AC10" s="548" t="s">
        <v>44</v>
      </c>
      <c r="AD10" s="554"/>
      <c r="AE10" s="549"/>
      <c r="AF10" s="546"/>
      <c r="AG10" s="546"/>
      <c r="AH10" s="546"/>
      <c r="AI10" s="546"/>
      <c r="AJ10" s="546"/>
      <c r="AK10" s="546"/>
      <c r="AL10" s="546"/>
      <c r="AM10" s="546"/>
      <c r="AN10" s="546"/>
      <c r="AO10" s="546"/>
      <c r="AP10" s="546"/>
      <c r="AQ10" s="547" t="s">
        <v>469</v>
      </c>
      <c r="AR10" s="547" t="s">
        <v>470</v>
      </c>
      <c r="AS10" s="547" t="s">
        <v>471</v>
      </c>
      <c r="AT10" s="546"/>
      <c r="AU10" s="546" t="s">
        <v>472</v>
      </c>
      <c r="AV10" s="546"/>
      <c r="AW10" s="549"/>
      <c r="AX10" s="549"/>
      <c r="AY10" s="549"/>
      <c r="AZ10" s="546" t="s">
        <v>158</v>
      </c>
      <c r="BA10" s="548" t="s">
        <v>43</v>
      </c>
      <c r="BB10" s="548" t="s">
        <v>44</v>
      </c>
    </row>
    <row r="11" spans="1:55" ht="67.5" customHeight="1">
      <c r="A11" s="554"/>
      <c r="B11" s="546"/>
      <c r="C11" s="564"/>
      <c r="D11" s="550"/>
      <c r="E11" s="554"/>
      <c r="F11" s="550"/>
      <c r="G11" s="546"/>
      <c r="H11" s="546"/>
      <c r="I11" s="546"/>
      <c r="J11" s="546"/>
      <c r="K11" s="546"/>
      <c r="L11" s="546"/>
      <c r="M11" s="546"/>
      <c r="N11" s="546"/>
      <c r="O11" s="546"/>
      <c r="P11" s="546"/>
      <c r="Q11" s="546"/>
      <c r="R11" s="547"/>
      <c r="S11" s="547"/>
      <c r="T11" s="547"/>
      <c r="U11" s="546"/>
      <c r="V11" s="546" t="s">
        <v>473</v>
      </c>
      <c r="W11" s="546"/>
      <c r="X11" s="550"/>
      <c r="Y11" s="550"/>
      <c r="Z11" s="550"/>
      <c r="AA11" s="546"/>
      <c r="AB11" s="550"/>
      <c r="AC11" s="550"/>
      <c r="AD11" s="554"/>
      <c r="AE11" s="550"/>
      <c r="AF11" s="546"/>
      <c r="AG11" s="546"/>
      <c r="AH11" s="546"/>
      <c r="AI11" s="546"/>
      <c r="AJ11" s="546"/>
      <c r="AK11" s="546"/>
      <c r="AL11" s="546"/>
      <c r="AM11" s="546"/>
      <c r="AN11" s="546"/>
      <c r="AO11" s="546"/>
      <c r="AP11" s="546"/>
      <c r="AQ11" s="547"/>
      <c r="AR11" s="547"/>
      <c r="AS11" s="547"/>
      <c r="AT11" s="546"/>
      <c r="AU11" s="546" t="s">
        <v>473</v>
      </c>
      <c r="AV11" s="546"/>
      <c r="AW11" s="550"/>
      <c r="AX11" s="550"/>
      <c r="AY11" s="550"/>
      <c r="AZ11" s="546"/>
      <c r="BA11" s="550"/>
      <c r="BB11" s="550"/>
    </row>
    <row r="12" spans="1:55" ht="12.75" customHeight="1">
      <c r="A12" s="31" t="s">
        <v>23</v>
      </c>
      <c r="B12" s="32" t="s">
        <v>24</v>
      </c>
      <c r="C12" s="33"/>
      <c r="D12" s="31"/>
      <c r="E12" s="31"/>
      <c r="F12" s="31"/>
      <c r="G12" s="34"/>
      <c r="H12" s="35"/>
      <c r="I12" s="35"/>
      <c r="J12" s="35"/>
      <c r="K12" s="35"/>
      <c r="L12" s="35"/>
      <c r="M12" s="35"/>
      <c r="N12" s="35"/>
      <c r="O12" s="35"/>
      <c r="P12" s="35"/>
      <c r="Q12" s="36"/>
      <c r="R12" s="36"/>
      <c r="U12" s="35"/>
      <c r="V12" s="31"/>
      <c r="W12" s="31"/>
      <c r="X12" s="31"/>
      <c r="Y12" s="31"/>
      <c r="Z12" s="31"/>
      <c r="AA12" s="31"/>
      <c r="AB12" s="31"/>
      <c r="AC12" s="31"/>
      <c r="AD12" s="31"/>
      <c r="AE12" s="31"/>
      <c r="AF12" s="34"/>
      <c r="AG12" s="35"/>
      <c r="AH12" s="35"/>
      <c r="AI12" s="35"/>
      <c r="AJ12" s="35"/>
      <c r="AK12" s="35"/>
      <c r="AL12" s="35"/>
      <c r="AM12" s="35"/>
      <c r="AN12" s="35"/>
      <c r="AO12" s="35"/>
      <c r="AP12" s="36"/>
      <c r="AQ12" s="36"/>
      <c r="AT12" s="35"/>
      <c r="AU12" s="31"/>
      <c r="AV12" s="31"/>
      <c r="AW12" s="31"/>
      <c r="AX12" s="31"/>
      <c r="AY12" s="31"/>
      <c r="AZ12" s="31"/>
      <c r="BA12" s="31"/>
      <c r="BB12" s="31"/>
    </row>
    <row r="13" spans="1:55" ht="20.25" customHeight="1">
      <c r="A13" s="37"/>
      <c r="B13" s="38" t="s">
        <v>474</v>
      </c>
      <c r="C13" s="39"/>
      <c r="D13" s="40"/>
      <c r="E13" s="41">
        <f>F13+G13+Y13+Z13+AA13</f>
        <v>0</v>
      </c>
      <c r="F13" s="42">
        <f t="shared" ref="F13:AC13" si="0">F14+F301</f>
        <v>0</v>
      </c>
      <c r="G13" s="42">
        <f t="shared" si="0"/>
        <v>0</v>
      </c>
      <c r="H13" s="42">
        <f t="shared" si="0"/>
        <v>0</v>
      </c>
      <c r="I13" s="42">
        <f t="shared" si="0"/>
        <v>0</v>
      </c>
      <c r="J13" s="42">
        <f t="shared" si="0"/>
        <v>0</v>
      </c>
      <c r="K13" s="42">
        <f t="shared" si="0"/>
        <v>0</v>
      </c>
      <c r="L13" s="42">
        <f t="shared" si="0"/>
        <v>0</v>
      </c>
      <c r="M13" s="42">
        <f t="shared" si="0"/>
        <v>0</v>
      </c>
      <c r="N13" s="42">
        <f t="shared" si="0"/>
        <v>0</v>
      </c>
      <c r="O13" s="42">
        <f t="shared" si="0"/>
        <v>0</v>
      </c>
      <c r="P13" s="42">
        <f t="shared" si="0"/>
        <v>0</v>
      </c>
      <c r="Q13" s="42">
        <f t="shared" si="0"/>
        <v>0</v>
      </c>
      <c r="R13" s="42">
        <f t="shared" si="0"/>
        <v>0</v>
      </c>
      <c r="S13" s="42">
        <f t="shared" si="0"/>
        <v>0</v>
      </c>
      <c r="T13" s="42">
        <f t="shared" si="0"/>
        <v>0</v>
      </c>
      <c r="U13" s="42">
        <f t="shared" si="0"/>
        <v>0</v>
      </c>
      <c r="V13" s="42">
        <f t="shared" si="0"/>
        <v>0</v>
      </c>
      <c r="W13" s="42">
        <f t="shared" si="0"/>
        <v>0</v>
      </c>
      <c r="X13" s="42">
        <f t="shared" si="0"/>
        <v>0</v>
      </c>
      <c r="Y13" s="42">
        <f t="shared" si="0"/>
        <v>0</v>
      </c>
      <c r="Z13" s="42">
        <f t="shared" si="0"/>
        <v>0</v>
      </c>
      <c r="AA13" s="42">
        <f t="shared" si="0"/>
        <v>0</v>
      </c>
      <c r="AB13" s="42">
        <f t="shared" si="0"/>
        <v>0</v>
      </c>
      <c r="AC13" s="42">
        <f t="shared" si="0"/>
        <v>0</v>
      </c>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row>
    <row r="14" spans="1:55" ht="27" customHeight="1">
      <c r="A14" s="43" t="s">
        <v>23</v>
      </c>
      <c r="B14" s="44" t="s">
        <v>475</v>
      </c>
      <c r="C14" s="45"/>
      <c r="D14" s="46"/>
      <c r="E14" s="47">
        <f t="shared" ref="E14:E77" si="1">F14+G14+Y14+Z14+AA14</f>
        <v>0</v>
      </c>
      <c r="F14" s="48">
        <f t="shared" ref="F14:AC14" si="2">F15+F95+F298+F299+F300+F297</f>
        <v>0</v>
      </c>
      <c r="G14" s="48">
        <f t="shared" si="2"/>
        <v>0</v>
      </c>
      <c r="H14" s="48">
        <f t="shared" si="2"/>
        <v>0</v>
      </c>
      <c r="I14" s="48">
        <f t="shared" si="2"/>
        <v>0</v>
      </c>
      <c r="J14" s="48">
        <f t="shared" si="2"/>
        <v>0</v>
      </c>
      <c r="K14" s="48">
        <f t="shared" si="2"/>
        <v>0</v>
      </c>
      <c r="L14" s="48">
        <f t="shared" si="2"/>
        <v>0</v>
      </c>
      <c r="M14" s="48">
        <f t="shared" si="2"/>
        <v>0</v>
      </c>
      <c r="N14" s="48">
        <f t="shared" si="2"/>
        <v>0</v>
      </c>
      <c r="O14" s="48">
        <f t="shared" si="2"/>
        <v>0</v>
      </c>
      <c r="P14" s="48">
        <f t="shared" si="2"/>
        <v>0</v>
      </c>
      <c r="Q14" s="48">
        <f t="shared" si="2"/>
        <v>0</v>
      </c>
      <c r="R14" s="48">
        <f t="shared" si="2"/>
        <v>0</v>
      </c>
      <c r="S14" s="48">
        <f t="shared" si="2"/>
        <v>0</v>
      </c>
      <c r="T14" s="48">
        <f t="shared" si="2"/>
        <v>0</v>
      </c>
      <c r="U14" s="48">
        <f t="shared" si="2"/>
        <v>0</v>
      </c>
      <c r="V14" s="48">
        <f t="shared" si="2"/>
        <v>0</v>
      </c>
      <c r="W14" s="48">
        <f t="shared" si="2"/>
        <v>0</v>
      </c>
      <c r="X14" s="48">
        <f t="shared" si="2"/>
        <v>0</v>
      </c>
      <c r="Y14" s="48">
        <f t="shared" si="2"/>
        <v>0</v>
      </c>
      <c r="Z14" s="48">
        <f t="shared" si="2"/>
        <v>0</v>
      </c>
      <c r="AA14" s="48">
        <f t="shared" si="2"/>
        <v>0</v>
      </c>
      <c r="AB14" s="48">
        <f t="shared" si="2"/>
        <v>0</v>
      </c>
      <c r="AC14" s="48">
        <f t="shared" si="2"/>
        <v>0</v>
      </c>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row>
    <row r="15" spans="1:55" ht="20.25" customHeight="1">
      <c r="A15" s="132" t="s">
        <v>476</v>
      </c>
      <c r="B15" s="133" t="s">
        <v>43</v>
      </c>
      <c r="C15" s="134"/>
      <c r="D15" s="135"/>
      <c r="E15" s="136">
        <f t="shared" si="1"/>
        <v>0</v>
      </c>
      <c r="F15" s="137">
        <f t="shared" ref="F15:AC15" si="3">F16</f>
        <v>0</v>
      </c>
      <c r="G15" s="137">
        <f t="shared" si="3"/>
        <v>0</v>
      </c>
      <c r="H15" s="137">
        <f t="shared" si="3"/>
        <v>0</v>
      </c>
      <c r="I15" s="137">
        <f t="shared" si="3"/>
        <v>0</v>
      </c>
      <c r="J15" s="137">
        <f t="shared" si="3"/>
        <v>0</v>
      </c>
      <c r="K15" s="137">
        <f t="shared" si="3"/>
        <v>0</v>
      </c>
      <c r="L15" s="137">
        <f t="shared" si="3"/>
        <v>0</v>
      </c>
      <c r="M15" s="137">
        <f t="shared" si="3"/>
        <v>0</v>
      </c>
      <c r="N15" s="137">
        <f t="shared" si="3"/>
        <v>0</v>
      </c>
      <c r="O15" s="137">
        <f t="shared" si="3"/>
        <v>0</v>
      </c>
      <c r="P15" s="137">
        <f t="shared" si="3"/>
        <v>0</v>
      </c>
      <c r="Q15" s="137">
        <f t="shared" si="3"/>
        <v>0</v>
      </c>
      <c r="R15" s="137">
        <f t="shared" si="3"/>
        <v>0</v>
      </c>
      <c r="S15" s="137">
        <f t="shared" si="3"/>
        <v>0</v>
      </c>
      <c r="T15" s="137">
        <f t="shared" si="3"/>
        <v>0</v>
      </c>
      <c r="U15" s="137">
        <f t="shared" si="3"/>
        <v>0</v>
      </c>
      <c r="V15" s="137">
        <f t="shared" si="3"/>
        <v>0</v>
      </c>
      <c r="W15" s="137">
        <f t="shared" si="3"/>
        <v>0</v>
      </c>
      <c r="X15" s="137">
        <f t="shared" si="3"/>
        <v>0</v>
      </c>
      <c r="Y15" s="137">
        <f t="shared" si="3"/>
        <v>0</v>
      </c>
      <c r="Z15" s="137">
        <f t="shared" si="3"/>
        <v>0</v>
      </c>
      <c r="AA15" s="137">
        <f t="shared" si="3"/>
        <v>0</v>
      </c>
      <c r="AB15" s="137">
        <f t="shared" si="3"/>
        <v>0</v>
      </c>
      <c r="AC15" s="137">
        <f t="shared" si="3"/>
        <v>0</v>
      </c>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26" t="s">
        <v>760</v>
      </c>
    </row>
    <row r="16" spans="1:55" s="19" customFormat="1" ht="22.5" customHeight="1">
      <c r="A16" s="138" t="s">
        <v>28</v>
      </c>
      <c r="B16" s="139" t="s">
        <v>477</v>
      </c>
      <c r="C16" s="140"/>
      <c r="D16" s="140"/>
      <c r="E16" s="136">
        <f t="shared" si="1"/>
        <v>0</v>
      </c>
      <c r="F16" s="137">
        <f t="shared" ref="F16:Z16" si="4">SUBTOTAL(9,F17:F94)</f>
        <v>0</v>
      </c>
      <c r="G16" s="141">
        <f t="shared" si="4"/>
        <v>0</v>
      </c>
      <c r="H16" s="141">
        <f t="shared" si="4"/>
        <v>0</v>
      </c>
      <c r="I16" s="141">
        <f t="shared" si="4"/>
        <v>0</v>
      </c>
      <c r="J16" s="141">
        <f t="shared" si="4"/>
        <v>0</v>
      </c>
      <c r="K16" s="141">
        <f t="shared" si="4"/>
        <v>0</v>
      </c>
      <c r="L16" s="141">
        <f t="shared" si="4"/>
        <v>0</v>
      </c>
      <c r="M16" s="141">
        <f t="shared" si="4"/>
        <v>0</v>
      </c>
      <c r="N16" s="141">
        <f t="shared" si="4"/>
        <v>0</v>
      </c>
      <c r="O16" s="141">
        <f t="shared" si="4"/>
        <v>0</v>
      </c>
      <c r="P16" s="141">
        <f t="shared" si="4"/>
        <v>0</v>
      </c>
      <c r="Q16" s="141">
        <f t="shared" si="4"/>
        <v>0</v>
      </c>
      <c r="R16" s="141">
        <f t="shared" si="4"/>
        <v>0</v>
      </c>
      <c r="S16" s="141">
        <f t="shared" si="4"/>
        <v>0</v>
      </c>
      <c r="T16" s="141">
        <f t="shared" si="4"/>
        <v>0</v>
      </c>
      <c r="U16" s="141">
        <f t="shared" si="4"/>
        <v>0</v>
      </c>
      <c r="V16" s="141">
        <f t="shared" si="4"/>
        <v>0</v>
      </c>
      <c r="W16" s="141">
        <f t="shared" si="4"/>
        <v>0</v>
      </c>
      <c r="X16" s="141">
        <f t="shared" si="4"/>
        <v>0</v>
      </c>
      <c r="Y16" s="141">
        <f t="shared" si="4"/>
        <v>0</v>
      </c>
      <c r="Z16" s="141">
        <f t="shared" si="4"/>
        <v>0</v>
      </c>
      <c r="AA16" s="141">
        <f>AB16+AC16</f>
        <v>0</v>
      </c>
      <c r="AB16" s="141">
        <f>SUBTOTAL(9,AB17:AB94)</f>
        <v>0</v>
      </c>
      <c r="AC16" s="141">
        <f>SUBTOTAL(9,AC17:AC94)</f>
        <v>0</v>
      </c>
      <c r="AD16" s="137"/>
      <c r="AE16" s="137"/>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row>
    <row r="17" spans="1:54" s="19" customFormat="1" ht="15">
      <c r="A17" s="142">
        <v>1</v>
      </c>
      <c r="B17" s="143" t="s">
        <v>300</v>
      </c>
      <c r="C17" s="144"/>
      <c r="D17" s="144"/>
      <c r="E17" s="136">
        <f t="shared" si="1"/>
        <v>0</v>
      </c>
      <c r="F17" s="145">
        <f>SUBTOTAL(9,F18:F20)</f>
        <v>0</v>
      </c>
      <c r="G17" s="146"/>
      <c r="H17" s="146"/>
      <c r="I17" s="146"/>
      <c r="J17" s="146"/>
      <c r="K17" s="146"/>
      <c r="L17" s="146"/>
      <c r="M17" s="146"/>
      <c r="N17" s="146"/>
      <c r="O17" s="146"/>
      <c r="P17" s="146"/>
      <c r="Q17" s="146"/>
      <c r="R17" s="146"/>
      <c r="S17" s="146"/>
      <c r="T17" s="146"/>
      <c r="U17" s="146"/>
      <c r="V17" s="146"/>
      <c r="W17" s="146"/>
      <c r="X17" s="146"/>
      <c r="Y17" s="146"/>
      <c r="Z17" s="146"/>
      <c r="AA17" s="146">
        <f>AB17+AC17</f>
        <v>0</v>
      </c>
      <c r="AB17" s="147"/>
      <c r="AC17" s="146"/>
      <c r="AD17" s="137"/>
      <c r="AE17" s="145"/>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7"/>
      <c r="BB17" s="146"/>
    </row>
    <row r="18" spans="1:54" s="19" customFormat="1" ht="25.5" hidden="1" customHeight="1" outlineLevel="1">
      <c r="A18" s="142" t="s">
        <v>30</v>
      </c>
      <c r="B18" s="143" t="s">
        <v>478</v>
      </c>
      <c r="C18" s="144"/>
      <c r="D18" s="144"/>
      <c r="E18" s="136">
        <f t="shared" si="1"/>
        <v>0</v>
      </c>
      <c r="F18" s="145"/>
      <c r="G18" s="146"/>
      <c r="H18" s="146"/>
      <c r="I18" s="146"/>
      <c r="J18" s="146"/>
      <c r="K18" s="146"/>
      <c r="L18" s="146"/>
      <c r="M18" s="146"/>
      <c r="N18" s="146"/>
      <c r="O18" s="146"/>
      <c r="P18" s="146"/>
      <c r="Q18" s="146"/>
      <c r="R18" s="146"/>
      <c r="S18" s="146"/>
      <c r="T18" s="146"/>
      <c r="U18" s="146"/>
      <c r="V18" s="146"/>
      <c r="W18" s="146"/>
      <c r="X18" s="146"/>
      <c r="Y18" s="146"/>
      <c r="Z18" s="146"/>
      <c r="AA18" s="146">
        <f t="shared" ref="AA18:AA81" si="5">AB18+AC18</f>
        <v>0</v>
      </c>
      <c r="AB18" s="148"/>
      <c r="AC18" s="146"/>
      <c r="AD18" s="137"/>
      <c r="AE18" s="145"/>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8"/>
      <c r="BB18" s="146"/>
    </row>
    <row r="19" spans="1:54" s="19" customFormat="1" ht="38.25" hidden="1" customHeight="1" outlineLevel="1">
      <c r="A19" s="142" t="s">
        <v>30</v>
      </c>
      <c r="B19" s="143" t="s">
        <v>479</v>
      </c>
      <c r="C19" s="144"/>
      <c r="D19" s="144"/>
      <c r="E19" s="136">
        <f t="shared" si="1"/>
        <v>0</v>
      </c>
      <c r="F19" s="145"/>
      <c r="G19" s="146"/>
      <c r="H19" s="146"/>
      <c r="I19" s="146"/>
      <c r="J19" s="146"/>
      <c r="K19" s="146"/>
      <c r="L19" s="146"/>
      <c r="M19" s="146"/>
      <c r="N19" s="146"/>
      <c r="O19" s="146"/>
      <c r="P19" s="146"/>
      <c r="Q19" s="146"/>
      <c r="R19" s="146"/>
      <c r="S19" s="146"/>
      <c r="T19" s="146"/>
      <c r="U19" s="146"/>
      <c r="V19" s="146"/>
      <c r="W19" s="146"/>
      <c r="X19" s="146"/>
      <c r="Y19" s="146"/>
      <c r="Z19" s="146"/>
      <c r="AA19" s="146">
        <f t="shared" si="5"/>
        <v>0</v>
      </c>
      <c r="AB19" s="148"/>
      <c r="AC19" s="146"/>
      <c r="AD19" s="137"/>
      <c r="AE19" s="145"/>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8"/>
      <c r="BB19" s="146"/>
    </row>
    <row r="20" spans="1:54" s="19" customFormat="1" ht="25.5" hidden="1" customHeight="1" outlineLevel="1">
      <c r="A20" s="142" t="s">
        <v>30</v>
      </c>
      <c r="B20" s="143" t="s">
        <v>480</v>
      </c>
      <c r="C20" s="144"/>
      <c r="D20" s="144"/>
      <c r="E20" s="136">
        <f t="shared" si="1"/>
        <v>0</v>
      </c>
      <c r="F20" s="145"/>
      <c r="G20" s="146"/>
      <c r="H20" s="146"/>
      <c r="I20" s="146"/>
      <c r="J20" s="146"/>
      <c r="K20" s="146"/>
      <c r="L20" s="146"/>
      <c r="M20" s="146"/>
      <c r="N20" s="146"/>
      <c r="O20" s="146"/>
      <c r="P20" s="146"/>
      <c r="Q20" s="146"/>
      <c r="R20" s="146"/>
      <c r="S20" s="146"/>
      <c r="T20" s="146"/>
      <c r="U20" s="146"/>
      <c r="V20" s="146"/>
      <c r="W20" s="146"/>
      <c r="X20" s="146"/>
      <c r="Y20" s="146"/>
      <c r="Z20" s="146"/>
      <c r="AA20" s="146">
        <f t="shared" si="5"/>
        <v>0</v>
      </c>
      <c r="AB20" s="148"/>
      <c r="AC20" s="146"/>
      <c r="AD20" s="137"/>
      <c r="AE20" s="145"/>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8"/>
      <c r="BB20" s="146"/>
    </row>
    <row r="21" spans="1:54" s="19" customFormat="1" ht="15" collapsed="1">
      <c r="A21" s="142">
        <v>2</v>
      </c>
      <c r="B21" s="143" t="s">
        <v>301</v>
      </c>
      <c r="C21" s="144"/>
      <c r="D21" s="144"/>
      <c r="E21" s="136">
        <f t="shared" si="1"/>
        <v>0</v>
      </c>
      <c r="F21" s="145">
        <f>SUBTOTAL(9,F22:F23)</f>
        <v>0</v>
      </c>
      <c r="G21" s="146"/>
      <c r="H21" s="146"/>
      <c r="I21" s="146"/>
      <c r="J21" s="146"/>
      <c r="K21" s="146"/>
      <c r="L21" s="146"/>
      <c r="M21" s="146"/>
      <c r="N21" s="146"/>
      <c r="O21" s="146"/>
      <c r="P21" s="146"/>
      <c r="Q21" s="146"/>
      <c r="R21" s="146"/>
      <c r="S21" s="146"/>
      <c r="T21" s="146"/>
      <c r="U21" s="146"/>
      <c r="V21" s="146"/>
      <c r="W21" s="146"/>
      <c r="X21" s="146"/>
      <c r="Y21" s="146"/>
      <c r="Z21" s="146"/>
      <c r="AA21" s="146">
        <f t="shared" si="5"/>
        <v>0</v>
      </c>
      <c r="AB21" s="147"/>
      <c r="AC21" s="146"/>
      <c r="AD21" s="137"/>
      <c r="AE21" s="145"/>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7"/>
      <c r="BB21" s="146"/>
    </row>
    <row r="22" spans="1:54" s="19" customFormat="1" ht="38.25" hidden="1" customHeight="1" outlineLevel="1">
      <c r="A22" s="142" t="s">
        <v>30</v>
      </c>
      <c r="B22" s="143" t="s">
        <v>481</v>
      </c>
      <c r="C22" s="144"/>
      <c r="D22" s="144"/>
      <c r="E22" s="136">
        <f t="shared" si="1"/>
        <v>0</v>
      </c>
      <c r="F22" s="145"/>
      <c r="G22" s="146"/>
      <c r="H22" s="146"/>
      <c r="I22" s="146"/>
      <c r="J22" s="146"/>
      <c r="K22" s="146"/>
      <c r="L22" s="146"/>
      <c r="M22" s="146"/>
      <c r="N22" s="146"/>
      <c r="O22" s="146"/>
      <c r="P22" s="146"/>
      <c r="Q22" s="146"/>
      <c r="R22" s="146"/>
      <c r="S22" s="146"/>
      <c r="T22" s="146"/>
      <c r="U22" s="146"/>
      <c r="V22" s="146"/>
      <c r="W22" s="146"/>
      <c r="X22" s="146"/>
      <c r="Y22" s="146"/>
      <c r="Z22" s="146"/>
      <c r="AA22" s="146">
        <f t="shared" si="5"/>
        <v>0</v>
      </c>
      <c r="AB22" s="148"/>
      <c r="AC22" s="146"/>
      <c r="AD22" s="137"/>
      <c r="AE22" s="145"/>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8"/>
      <c r="BB22" s="146"/>
    </row>
    <row r="23" spans="1:54" s="19" customFormat="1" ht="25.5" hidden="1" customHeight="1" outlineLevel="1">
      <c r="A23" s="142" t="s">
        <v>30</v>
      </c>
      <c r="B23" s="143" t="s">
        <v>482</v>
      </c>
      <c r="C23" s="144"/>
      <c r="D23" s="144"/>
      <c r="E23" s="136">
        <f t="shared" si="1"/>
        <v>0</v>
      </c>
      <c r="F23" s="145"/>
      <c r="G23" s="146"/>
      <c r="H23" s="146"/>
      <c r="I23" s="146"/>
      <c r="J23" s="146"/>
      <c r="K23" s="146"/>
      <c r="L23" s="146"/>
      <c r="M23" s="146"/>
      <c r="N23" s="146"/>
      <c r="O23" s="146"/>
      <c r="P23" s="146"/>
      <c r="Q23" s="146"/>
      <c r="R23" s="146"/>
      <c r="S23" s="146"/>
      <c r="T23" s="146"/>
      <c r="U23" s="146"/>
      <c r="V23" s="146"/>
      <c r="W23" s="146"/>
      <c r="X23" s="146"/>
      <c r="Y23" s="146"/>
      <c r="Z23" s="146"/>
      <c r="AA23" s="146">
        <f t="shared" si="5"/>
        <v>0</v>
      </c>
      <c r="AB23" s="148"/>
      <c r="AC23" s="146"/>
      <c r="AD23" s="137"/>
      <c r="AE23" s="145"/>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8"/>
      <c r="BB23" s="146"/>
    </row>
    <row r="24" spans="1:54" s="19" customFormat="1" ht="15" collapsed="1">
      <c r="A24" s="142">
        <v>3</v>
      </c>
      <c r="B24" s="143" t="s">
        <v>302</v>
      </c>
      <c r="C24" s="144"/>
      <c r="D24" s="144"/>
      <c r="E24" s="136">
        <f t="shared" si="1"/>
        <v>0</v>
      </c>
      <c r="F24" s="145">
        <f t="shared" ref="F24" si="6">SUBTOTAL(9,F25:F26)</f>
        <v>0</v>
      </c>
      <c r="G24" s="146"/>
      <c r="H24" s="146"/>
      <c r="I24" s="146"/>
      <c r="J24" s="146"/>
      <c r="K24" s="146"/>
      <c r="L24" s="146"/>
      <c r="M24" s="146"/>
      <c r="N24" s="146"/>
      <c r="O24" s="146"/>
      <c r="P24" s="146"/>
      <c r="Q24" s="146"/>
      <c r="R24" s="146"/>
      <c r="S24" s="146"/>
      <c r="T24" s="146"/>
      <c r="U24" s="146"/>
      <c r="V24" s="146"/>
      <c r="W24" s="146"/>
      <c r="X24" s="146"/>
      <c r="Y24" s="146"/>
      <c r="Z24" s="146"/>
      <c r="AA24" s="146">
        <f t="shared" si="5"/>
        <v>0</v>
      </c>
      <c r="AB24" s="147"/>
      <c r="AC24" s="146"/>
      <c r="AD24" s="137"/>
      <c r="AE24" s="145"/>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7"/>
      <c r="BB24" s="146"/>
    </row>
    <row r="25" spans="1:54" s="19" customFormat="1" ht="25.5" hidden="1" customHeight="1" outlineLevel="1">
      <c r="A25" s="142" t="s">
        <v>30</v>
      </c>
      <c r="B25" s="143" t="s">
        <v>483</v>
      </c>
      <c r="C25" s="144"/>
      <c r="D25" s="144"/>
      <c r="E25" s="136">
        <f t="shared" si="1"/>
        <v>0</v>
      </c>
      <c r="F25" s="145"/>
      <c r="G25" s="146"/>
      <c r="H25" s="146"/>
      <c r="I25" s="146"/>
      <c r="J25" s="146"/>
      <c r="K25" s="146"/>
      <c r="L25" s="146"/>
      <c r="M25" s="146"/>
      <c r="N25" s="146"/>
      <c r="O25" s="146"/>
      <c r="P25" s="146"/>
      <c r="Q25" s="146"/>
      <c r="R25" s="146"/>
      <c r="S25" s="146"/>
      <c r="T25" s="146"/>
      <c r="U25" s="146"/>
      <c r="V25" s="146"/>
      <c r="W25" s="146"/>
      <c r="X25" s="146"/>
      <c r="Y25" s="146"/>
      <c r="Z25" s="146"/>
      <c r="AA25" s="146">
        <f t="shared" si="5"/>
        <v>0</v>
      </c>
      <c r="AB25" s="148"/>
      <c r="AC25" s="146"/>
      <c r="AD25" s="137"/>
      <c r="AE25" s="145"/>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8"/>
      <c r="BB25" s="146"/>
    </row>
    <row r="26" spans="1:54" s="19" customFormat="1" ht="15" hidden="1" customHeight="1" outlineLevel="1">
      <c r="A26" s="142" t="s">
        <v>30</v>
      </c>
      <c r="B26" s="143" t="s">
        <v>484</v>
      </c>
      <c r="C26" s="144"/>
      <c r="D26" s="144"/>
      <c r="E26" s="136">
        <f t="shared" si="1"/>
        <v>0</v>
      </c>
      <c r="F26" s="145"/>
      <c r="G26" s="146"/>
      <c r="H26" s="146"/>
      <c r="I26" s="146"/>
      <c r="J26" s="146"/>
      <c r="K26" s="146"/>
      <c r="L26" s="146"/>
      <c r="M26" s="146"/>
      <c r="N26" s="146"/>
      <c r="O26" s="146"/>
      <c r="P26" s="146"/>
      <c r="Q26" s="146"/>
      <c r="R26" s="146"/>
      <c r="S26" s="146"/>
      <c r="T26" s="146"/>
      <c r="U26" s="146"/>
      <c r="V26" s="146"/>
      <c r="W26" s="146"/>
      <c r="X26" s="146"/>
      <c r="Y26" s="146"/>
      <c r="Z26" s="146"/>
      <c r="AA26" s="146">
        <f t="shared" si="5"/>
        <v>0</v>
      </c>
      <c r="AB26" s="148"/>
      <c r="AC26" s="146"/>
      <c r="AD26" s="137"/>
      <c r="AE26" s="145"/>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8"/>
      <c r="BB26" s="146"/>
    </row>
    <row r="27" spans="1:54" s="19" customFormat="1" ht="15" collapsed="1">
      <c r="A27" s="142">
        <v>4</v>
      </c>
      <c r="B27" s="143" t="s">
        <v>303</v>
      </c>
      <c r="C27" s="144"/>
      <c r="D27" s="144"/>
      <c r="E27" s="136">
        <f t="shared" si="1"/>
        <v>0</v>
      </c>
      <c r="F27" s="145">
        <f t="shared" ref="F27" si="7">SUBTOTAL(9,F28:F29)</f>
        <v>0</v>
      </c>
      <c r="G27" s="146"/>
      <c r="H27" s="146"/>
      <c r="I27" s="146"/>
      <c r="J27" s="146"/>
      <c r="K27" s="146"/>
      <c r="L27" s="146"/>
      <c r="M27" s="146"/>
      <c r="N27" s="146"/>
      <c r="O27" s="146"/>
      <c r="P27" s="146"/>
      <c r="Q27" s="146"/>
      <c r="R27" s="146"/>
      <c r="S27" s="146"/>
      <c r="T27" s="146"/>
      <c r="U27" s="146"/>
      <c r="V27" s="146"/>
      <c r="W27" s="146"/>
      <c r="X27" s="146"/>
      <c r="Y27" s="146"/>
      <c r="Z27" s="146"/>
      <c r="AA27" s="146">
        <f t="shared" si="5"/>
        <v>0</v>
      </c>
      <c r="AB27" s="147"/>
      <c r="AC27" s="146"/>
      <c r="AD27" s="137"/>
      <c r="AE27" s="145"/>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7"/>
      <c r="BB27" s="146"/>
    </row>
    <row r="28" spans="1:54" s="19" customFormat="1" ht="38.25" hidden="1" customHeight="1" outlineLevel="1">
      <c r="A28" s="142" t="s">
        <v>30</v>
      </c>
      <c r="B28" s="143" t="s">
        <v>485</v>
      </c>
      <c r="C28" s="144"/>
      <c r="D28" s="144"/>
      <c r="E28" s="136">
        <f t="shared" si="1"/>
        <v>0</v>
      </c>
      <c r="F28" s="145"/>
      <c r="G28" s="146"/>
      <c r="H28" s="146"/>
      <c r="I28" s="146"/>
      <c r="J28" s="146"/>
      <c r="K28" s="146"/>
      <c r="L28" s="146"/>
      <c r="M28" s="146"/>
      <c r="N28" s="146"/>
      <c r="O28" s="146"/>
      <c r="P28" s="146"/>
      <c r="Q28" s="146"/>
      <c r="R28" s="146"/>
      <c r="S28" s="146"/>
      <c r="T28" s="146"/>
      <c r="U28" s="146"/>
      <c r="V28" s="146"/>
      <c r="W28" s="146"/>
      <c r="X28" s="146"/>
      <c r="Y28" s="146"/>
      <c r="Z28" s="146"/>
      <c r="AA28" s="146">
        <f t="shared" si="5"/>
        <v>0</v>
      </c>
      <c r="AB28" s="148"/>
      <c r="AC28" s="146"/>
      <c r="AD28" s="137"/>
      <c r="AE28" s="145"/>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8"/>
      <c r="BB28" s="146"/>
    </row>
    <row r="29" spans="1:54" s="19" customFormat="1" ht="25.5" hidden="1" customHeight="1" outlineLevel="1">
      <c r="A29" s="142" t="s">
        <v>30</v>
      </c>
      <c r="B29" s="143" t="s">
        <v>486</v>
      </c>
      <c r="C29" s="144"/>
      <c r="D29" s="144"/>
      <c r="E29" s="136">
        <f t="shared" si="1"/>
        <v>0</v>
      </c>
      <c r="F29" s="145"/>
      <c r="G29" s="146"/>
      <c r="H29" s="146"/>
      <c r="I29" s="146"/>
      <c r="J29" s="146"/>
      <c r="K29" s="146"/>
      <c r="L29" s="146"/>
      <c r="M29" s="146"/>
      <c r="N29" s="146"/>
      <c r="O29" s="146"/>
      <c r="P29" s="146"/>
      <c r="Q29" s="146"/>
      <c r="R29" s="146"/>
      <c r="S29" s="146"/>
      <c r="T29" s="146"/>
      <c r="U29" s="146"/>
      <c r="V29" s="146"/>
      <c r="W29" s="146"/>
      <c r="X29" s="146"/>
      <c r="Y29" s="146"/>
      <c r="Z29" s="146"/>
      <c r="AA29" s="146">
        <f t="shared" si="5"/>
        <v>0</v>
      </c>
      <c r="AB29" s="148"/>
      <c r="AC29" s="146"/>
      <c r="AD29" s="137"/>
      <c r="AE29" s="145"/>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8"/>
      <c r="BB29" s="146"/>
    </row>
    <row r="30" spans="1:54" s="19" customFormat="1" ht="15" collapsed="1">
      <c r="A30" s="142">
        <v>5</v>
      </c>
      <c r="B30" s="143" t="s">
        <v>304</v>
      </c>
      <c r="C30" s="144"/>
      <c r="D30" s="144"/>
      <c r="E30" s="136">
        <f t="shared" si="1"/>
        <v>0</v>
      </c>
      <c r="F30" s="145">
        <f t="shared" ref="F30" si="8">SUBTOTAL(9,F31:F35)</f>
        <v>0</v>
      </c>
      <c r="G30" s="146"/>
      <c r="H30" s="146"/>
      <c r="I30" s="146"/>
      <c r="J30" s="146"/>
      <c r="K30" s="146"/>
      <c r="L30" s="146"/>
      <c r="M30" s="146"/>
      <c r="N30" s="146"/>
      <c r="O30" s="146"/>
      <c r="P30" s="146"/>
      <c r="Q30" s="146"/>
      <c r="R30" s="146"/>
      <c r="S30" s="146"/>
      <c r="T30" s="146"/>
      <c r="U30" s="146"/>
      <c r="V30" s="146"/>
      <c r="W30" s="146"/>
      <c r="X30" s="146"/>
      <c r="Y30" s="146"/>
      <c r="Z30" s="146"/>
      <c r="AA30" s="146">
        <f t="shared" si="5"/>
        <v>0</v>
      </c>
      <c r="AB30" s="147"/>
      <c r="AC30" s="146"/>
      <c r="AD30" s="137"/>
      <c r="AE30" s="145"/>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7"/>
      <c r="BB30" s="146"/>
    </row>
    <row r="31" spans="1:54" s="19" customFormat="1" ht="25.5" hidden="1" customHeight="1" outlineLevel="1">
      <c r="A31" s="142" t="s">
        <v>30</v>
      </c>
      <c r="B31" s="143" t="s">
        <v>487</v>
      </c>
      <c r="C31" s="144"/>
      <c r="D31" s="144"/>
      <c r="E31" s="136">
        <f t="shared" si="1"/>
        <v>0</v>
      </c>
      <c r="F31" s="145"/>
      <c r="G31" s="146"/>
      <c r="H31" s="146"/>
      <c r="I31" s="146"/>
      <c r="J31" s="146"/>
      <c r="K31" s="146"/>
      <c r="L31" s="146"/>
      <c r="M31" s="146"/>
      <c r="N31" s="146"/>
      <c r="O31" s="146"/>
      <c r="P31" s="146"/>
      <c r="Q31" s="146"/>
      <c r="R31" s="146"/>
      <c r="S31" s="146"/>
      <c r="T31" s="146"/>
      <c r="U31" s="146"/>
      <c r="V31" s="146"/>
      <c r="W31" s="146"/>
      <c r="X31" s="146"/>
      <c r="Y31" s="146"/>
      <c r="Z31" s="146"/>
      <c r="AA31" s="146">
        <f t="shared" si="5"/>
        <v>0</v>
      </c>
      <c r="AB31" s="148"/>
      <c r="AC31" s="146"/>
      <c r="AD31" s="137"/>
      <c r="AE31" s="145"/>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8"/>
      <c r="BB31" s="146"/>
    </row>
    <row r="32" spans="1:54" s="19" customFormat="1" ht="38.25" hidden="1" customHeight="1" outlineLevel="1">
      <c r="A32" s="142" t="s">
        <v>30</v>
      </c>
      <c r="B32" s="143" t="s">
        <v>488</v>
      </c>
      <c r="C32" s="144"/>
      <c r="D32" s="144"/>
      <c r="E32" s="136">
        <f t="shared" si="1"/>
        <v>0</v>
      </c>
      <c r="F32" s="145"/>
      <c r="G32" s="146"/>
      <c r="H32" s="146"/>
      <c r="I32" s="146"/>
      <c r="J32" s="146"/>
      <c r="K32" s="146"/>
      <c r="L32" s="146"/>
      <c r="M32" s="146"/>
      <c r="N32" s="146"/>
      <c r="O32" s="146"/>
      <c r="P32" s="146"/>
      <c r="Q32" s="146"/>
      <c r="R32" s="146"/>
      <c r="S32" s="146"/>
      <c r="T32" s="146"/>
      <c r="U32" s="146"/>
      <c r="V32" s="146"/>
      <c r="W32" s="146"/>
      <c r="X32" s="146"/>
      <c r="Y32" s="146"/>
      <c r="Z32" s="146"/>
      <c r="AA32" s="146">
        <f t="shared" si="5"/>
        <v>0</v>
      </c>
      <c r="AB32" s="148"/>
      <c r="AC32" s="146"/>
      <c r="AD32" s="137"/>
      <c r="AE32" s="145"/>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8"/>
      <c r="BB32" s="146"/>
    </row>
    <row r="33" spans="1:54" s="19" customFormat="1" ht="25.5" hidden="1" customHeight="1" outlineLevel="1">
      <c r="A33" s="142" t="s">
        <v>30</v>
      </c>
      <c r="B33" s="143" t="s">
        <v>489</v>
      </c>
      <c r="C33" s="144"/>
      <c r="D33" s="144"/>
      <c r="E33" s="136">
        <f t="shared" si="1"/>
        <v>0</v>
      </c>
      <c r="F33" s="145"/>
      <c r="G33" s="146"/>
      <c r="H33" s="146"/>
      <c r="I33" s="146"/>
      <c r="J33" s="146"/>
      <c r="K33" s="146"/>
      <c r="L33" s="146"/>
      <c r="M33" s="146"/>
      <c r="N33" s="146"/>
      <c r="O33" s="146"/>
      <c r="P33" s="146"/>
      <c r="Q33" s="146"/>
      <c r="R33" s="146"/>
      <c r="S33" s="146"/>
      <c r="T33" s="146"/>
      <c r="U33" s="146"/>
      <c r="V33" s="146"/>
      <c r="W33" s="146"/>
      <c r="X33" s="146"/>
      <c r="Y33" s="146"/>
      <c r="Z33" s="146"/>
      <c r="AA33" s="146">
        <f t="shared" si="5"/>
        <v>0</v>
      </c>
      <c r="AB33" s="148"/>
      <c r="AC33" s="146"/>
      <c r="AD33" s="137"/>
      <c r="AE33" s="145"/>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8"/>
      <c r="BB33" s="146"/>
    </row>
    <row r="34" spans="1:54" s="19" customFormat="1" ht="25.5" hidden="1" customHeight="1" outlineLevel="1">
      <c r="A34" s="142" t="s">
        <v>30</v>
      </c>
      <c r="B34" s="143" t="s">
        <v>490</v>
      </c>
      <c r="C34" s="144"/>
      <c r="D34" s="144"/>
      <c r="E34" s="136">
        <f t="shared" si="1"/>
        <v>0</v>
      </c>
      <c r="F34" s="145"/>
      <c r="G34" s="146"/>
      <c r="H34" s="146"/>
      <c r="I34" s="146"/>
      <c r="J34" s="146"/>
      <c r="K34" s="146"/>
      <c r="L34" s="146"/>
      <c r="M34" s="146"/>
      <c r="N34" s="146"/>
      <c r="O34" s="146"/>
      <c r="P34" s="146"/>
      <c r="Q34" s="146"/>
      <c r="R34" s="146"/>
      <c r="S34" s="146"/>
      <c r="T34" s="146"/>
      <c r="U34" s="146"/>
      <c r="V34" s="146"/>
      <c r="W34" s="146"/>
      <c r="X34" s="146"/>
      <c r="Y34" s="146"/>
      <c r="Z34" s="146"/>
      <c r="AA34" s="146">
        <f t="shared" si="5"/>
        <v>0</v>
      </c>
      <c r="AB34" s="148"/>
      <c r="AC34" s="146"/>
      <c r="AD34" s="137"/>
      <c r="AE34" s="145"/>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8"/>
      <c r="BB34" s="146"/>
    </row>
    <row r="35" spans="1:54" s="19" customFormat="1" ht="25.5" hidden="1" customHeight="1" outlineLevel="1">
      <c r="A35" s="142" t="s">
        <v>30</v>
      </c>
      <c r="B35" s="143" t="s">
        <v>491</v>
      </c>
      <c r="C35" s="144"/>
      <c r="D35" s="144"/>
      <c r="E35" s="136">
        <f t="shared" si="1"/>
        <v>0</v>
      </c>
      <c r="F35" s="145"/>
      <c r="G35" s="146"/>
      <c r="H35" s="146"/>
      <c r="I35" s="146"/>
      <c r="J35" s="146"/>
      <c r="K35" s="146"/>
      <c r="L35" s="146"/>
      <c r="M35" s="146"/>
      <c r="N35" s="146"/>
      <c r="O35" s="146"/>
      <c r="P35" s="146"/>
      <c r="Q35" s="146"/>
      <c r="R35" s="146"/>
      <c r="S35" s="146"/>
      <c r="T35" s="146"/>
      <c r="U35" s="146"/>
      <c r="V35" s="146"/>
      <c r="W35" s="146"/>
      <c r="X35" s="146"/>
      <c r="Y35" s="146"/>
      <c r="Z35" s="146"/>
      <c r="AA35" s="146">
        <f t="shared" si="5"/>
        <v>0</v>
      </c>
      <c r="AB35" s="148"/>
      <c r="AC35" s="146"/>
      <c r="AD35" s="137"/>
      <c r="AE35" s="145"/>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8"/>
      <c r="BB35" s="146"/>
    </row>
    <row r="36" spans="1:54" s="19" customFormat="1" ht="15" collapsed="1">
      <c r="A36" s="142">
        <v>6</v>
      </c>
      <c r="B36" s="143" t="s">
        <v>305</v>
      </c>
      <c r="C36" s="144"/>
      <c r="D36" s="144"/>
      <c r="E36" s="136">
        <f t="shared" si="1"/>
        <v>0</v>
      </c>
      <c r="F36" s="145">
        <f t="shared" ref="F36" si="9">SUBTOTAL(9,F37)</f>
        <v>0</v>
      </c>
      <c r="G36" s="146"/>
      <c r="H36" s="146"/>
      <c r="I36" s="146"/>
      <c r="J36" s="146"/>
      <c r="K36" s="146"/>
      <c r="L36" s="146"/>
      <c r="M36" s="146"/>
      <c r="N36" s="146"/>
      <c r="O36" s="146"/>
      <c r="P36" s="146"/>
      <c r="Q36" s="146"/>
      <c r="R36" s="146"/>
      <c r="S36" s="146"/>
      <c r="T36" s="146"/>
      <c r="U36" s="146"/>
      <c r="V36" s="146"/>
      <c r="W36" s="146"/>
      <c r="X36" s="146"/>
      <c r="Y36" s="146"/>
      <c r="Z36" s="146"/>
      <c r="AA36" s="146">
        <f t="shared" si="5"/>
        <v>0</v>
      </c>
      <c r="AB36" s="147"/>
      <c r="AC36" s="146"/>
      <c r="AD36" s="137"/>
      <c r="AE36" s="145"/>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7"/>
      <c r="BB36" s="146"/>
    </row>
    <row r="37" spans="1:54" s="19" customFormat="1" ht="31.5" hidden="1" customHeight="1" outlineLevel="1">
      <c r="A37" s="142" t="s">
        <v>30</v>
      </c>
      <c r="B37" s="143" t="s">
        <v>492</v>
      </c>
      <c r="C37" s="144"/>
      <c r="D37" s="144"/>
      <c r="E37" s="136">
        <f t="shared" si="1"/>
        <v>0</v>
      </c>
      <c r="F37" s="145"/>
      <c r="G37" s="146"/>
      <c r="H37" s="146"/>
      <c r="I37" s="146"/>
      <c r="J37" s="146"/>
      <c r="K37" s="146"/>
      <c r="L37" s="146"/>
      <c r="M37" s="146"/>
      <c r="N37" s="146"/>
      <c r="O37" s="146"/>
      <c r="P37" s="146"/>
      <c r="Q37" s="146"/>
      <c r="R37" s="146"/>
      <c r="S37" s="146"/>
      <c r="T37" s="146"/>
      <c r="U37" s="146"/>
      <c r="V37" s="146"/>
      <c r="W37" s="146"/>
      <c r="X37" s="146"/>
      <c r="Y37" s="146"/>
      <c r="Z37" s="146"/>
      <c r="AA37" s="146">
        <f t="shared" si="5"/>
        <v>0</v>
      </c>
      <c r="AB37" s="148"/>
      <c r="AC37" s="146"/>
      <c r="AD37" s="137"/>
      <c r="AE37" s="145"/>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8"/>
      <c r="BB37" s="146"/>
    </row>
    <row r="38" spans="1:54" s="19" customFormat="1" ht="15" collapsed="1">
      <c r="A38" s="142">
        <v>7</v>
      </c>
      <c r="B38" s="143" t="s">
        <v>306</v>
      </c>
      <c r="C38" s="144"/>
      <c r="D38" s="144"/>
      <c r="E38" s="136">
        <f t="shared" si="1"/>
        <v>0</v>
      </c>
      <c r="F38" s="145">
        <f t="shared" ref="F38" si="10">SUBTOTAL(9,F39)</f>
        <v>0</v>
      </c>
      <c r="G38" s="146"/>
      <c r="H38" s="146"/>
      <c r="I38" s="146"/>
      <c r="J38" s="146"/>
      <c r="K38" s="146"/>
      <c r="L38" s="146"/>
      <c r="M38" s="146"/>
      <c r="N38" s="146"/>
      <c r="O38" s="146"/>
      <c r="P38" s="146"/>
      <c r="Q38" s="146"/>
      <c r="R38" s="146"/>
      <c r="S38" s="146"/>
      <c r="T38" s="146"/>
      <c r="U38" s="146"/>
      <c r="V38" s="146"/>
      <c r="W38" s="146"/>
      <c r="X38" s="146"/>
      <c r="Y38" s="146"/>
      <c r="Z38" s="146"/>
      <c r="AA38" s="146">
        <f t="shared" si="5"/>
        <v>0</v>
      </c>
      <c r="AB38" s="147"/>
      <c r="AC38" s="146"/>
      <c r="AD38" s="137"/>
      <c r="AE38" s="145"/>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7"/>
      <c r="BB38" s="146"/>
    </row>
    <row r="39" spans="1:54" s="19" customFormat="1" ht="51.75" hidden="1" customHeight="1" outlineLevel="1">
      <c r="A39" s="142" t="s">
        <v>30</v>
      </c>
      <c r="B39" s="143" t="s">
        <v>493</v>
      </c>
      <c r="C39" s="144"/>
      <c r="D39" s="144"/>
      <c r="E39" s="136">
        <f t="shared" si="1"/>
        <v>0</v>
      </c>
      <c r="F39" s="145"/>
      <c r="G39" s="146"/>
      <c r="H39" s="146"/>
      <c r="I39" s="146"/>
      <c r="J39" s="146"/>
      <c r="K39" s="146"/>
      <c r="L39" s="146"/>
      <c r="M39" s="146"/>
      <c r="N39" s="146"/>
      <c r="O39" s="146"/>
      <c r="P39" s="146"/>
      <c r="Q39" s="146"/>
      <c r="R39" s="146"/>
      <c r="S39" s="146"/>
      <c r="T39" s="146"/>
      <c r="U39" s="146"/>
      <c r="V39" s="146"/>
      <c r="W39" s="146"/>
      <c r="X39" s="146"/>
      <c r="Y39" s="146"/>
      <c r="Z39" s="146"/>
      <c r="AA39" s="146">
        <f t="shared" si="5"/>
        <v>0</v>
      </c>
      <c r="AB39" s="148"/>
      <c r="AC39" s="146"/>
      <c r="AD39" s="137"/>
      <c r="AE39" s="145"/>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8"/>
      <c r="BB39" s="146"/>
    </row>
    <row r="40" spans="1:54" s="19" customFormat="1" ht="15" collapsed="1">
      <c r="A40" s="142">
        <v>8</v>
      </c>
      <c r="B40" s="143" t="s">
        <v>494</v>
      </c>
      <c r="C40" s="144"/>
      <c r="D40" s="144"/>
      <c r="E40" s="136">
        <f t="shared" si="1"/>
        <v>0</v>
      </c>
      <c r="F40" s="145">
        <f t="shared" ref="F40" si="11">SUBTOTAL(9,F41:F42)</f>
        <v>0</v>
      </c>
      <c r="G40" s="146"/>
      <c r="H40" s="146"/>
      <c r="I40" s="146"/>
      <c r="J40" s="146"/>
      <c r="K40" s="146"/>
      <c r="L40" s="146"/>
      <c r="M40" s="146"/>
      <c r="N40" s="146"/>
      <c r="O40" s="146"/>
      <c r="P40" s="146"/>
      <c r="Q40" s="146"/>
      <c r="R40" s="146"/>
      <c r="S40" s="146"/>
      <c r="T40" s="146"/>
      <c r="U40" s="146"/>
      <c r="V40" s="146"/>
      <c r="W40" s="146"/>
      <c r="X40" s="146"/>
      <c r="Y40" s="146"/>
      <c r="Z40" s="146"/>
      <c r="AA40" s="146">
        <f t="shared" si="5"/>
        <v>0</v>
      </c>
      <c r="AB40" s="147"/>
      <c r="AC40" s="146"/>
      <c r="AD40" s="137"/>
      <c r="AE40" s="145"/>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7"/>
      <c r="BB40" s="146"/>
    </row>
    <row r="41" spans="1:54" s="19" customFormat="1" ht="38.25" hidden="1" customHeight="1" outlineLevel="1">
      <c r="A41" s="142" t="s">
        <v>30</v>
      </c>
      <c r="B41" s="143" t="s">
        <v>495</v>
      </c>
      <c r="C41" s="144"/>
      <c r="D41" s="144"/>
      <c r="E41" s="136">
        <f t="shared" si="1"/>
        <v>0</v>
      </c>
      <c r="F41" s="145"/>
      <c r="G41" s="146"/>
      <c r="H41" s="146"/>
      <c r="I41" s="146"/>
      <c r="J41" s="146"/>
      <c r="K41" s="146"/>
      <c r="L41" s="146"/>
      <c r="M41" s="146"/>
      <c r="N41" s="146"/>
      <c r="O41" s="146"/>
      <c r="P41" s="146"/>
      <c r="Q41" s="146"/>
      <c r="R41" s="146"/>
      <c r="S41" s="146"/>
      <c r="T41" s="146"/>
      <c r="U41" s="146"/>
      <c r="V41" s="146"/>
      <c r="W41" s="146"/>
      <c r="X41" s="146"/>
      <c r="Y41" s="146"/>
      <c r="Z41" s="146"/>
      <c r="AA41" s="146">
        <f t="shared" si="5"/>
        <v>0</v>
      </c>
      <c r="AB41" s="147"/>
      <c r="AC41" s="146"/>
      <c r="AD41" s="137"/>
      <c r="AE41" s="145"/>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7"/>
      <c r="BB41" s="146"/>
    </row>
    <row r="42" spans="1:54" s="19" customFormat="1" ht="25.5" hidden="1" customHeight="1" outlineLevel="1">
      <c r="A42" s="142" t="s">
        <v>30</v>
      </c>
      <c r="B42" s="143" t="s">
        <v>496</v>
      </c>
      <c r="C42" s="144"/>
      <c r="D42" s="144"/>
      <c r="E42" s="136">
        <f t="shared" si="1"/>
        <v>0</v>
      </c>
      <c r="F42" s="145"/>
      <c r="G42" s="146"/>
      <c r="H42" s="146"/>
      <c r="I42" s="146"/>
      <c r="J42" s="146"/>
      <c r="K42" s="146"/>
      <c r="L42" s="146"/>
      <c r="M42" s="146"/>
      <c r="N42" s="146"/>
      <c r="O42" s="146"/>
      <c r="P42" s="146"/>
      <c r="Q42" s="146"/>
      <c r="R42" s="146"/>
      <c r="S42" s="146"/>
      <c r="T42" s="146"/>
      <c r="U42" s="146"/>
      <c r="V42" s="146"/>
      <c r="W42" s="146"/>
      <c r="X42" s="146"/>
      <c r="Y42" s="146"/>
      <c r="Z42" s="146"/>
      <c r="AA42" s="146">
        <f t="shared" si="5"/>
        <v>0</v>
      </c>
      <c r="AB42" s="148"/>
      <c r="AC42" s="146"/>
      <c r="AD42" s="137"/>
      <c r="AE42" s="145"/>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8"/>
      <c r="BB42" s="146"/>
    </row>
    <row r="43" spans="1:54" s="19" customFormat="1" ht="15" collapsed="1">
      <c r="A43" s="142">
        <v>9</v>
      </c>
      <c r="B43" s="143" t="s">
        <v>307</v>
      </c>
      <c r="C43" s="144"/>
      <c r="D43" s="144"/>
      <c r="E43" s="136">
        <f t="shared" si="1"/>
        <v>0</v>
      </c>
      <c r="F43" s="145">
        <f t="shared" ref="F43" si="12">SUBTOTAL(9,F44:F47)</f>
        <v>0</v>
      </c>
      <c r="G43" s="146"/>
      <c r="H43" s="146"/>
      <c r="I43" s="146"/>
      <c r="J43" s="146"/>
      <c r="K43" s="146"/>
      <c r="L43" s="146"/>
      <c r="M43" s="146"/>
      <c r="N43" s="146"/>
      <c r="O43" s="146"/>
      <c r="P43" s="146"/>
      <c r="Q43" s="146"/>
      <c r="R43" s="146"/>
      <c r="S43" s="146"/>
      <c r="T43" s="146"/>
      <c r="U43" s="146"/>
      <c r="V43" s="146"/>
      <c r="W43" s="146"/>
      <c r="X43" s="146"/>
      <c r="Y43" s="146"/>
      <c r="Z43" s="146"/>
      <c r="AA43" s="146">
        <f t="shared" si="5"/>
        <v>0</v>
      </c>
      <c r="AB43" s="147"/>
      <c r="AC43" s="146"/>
      <c r="AD43" s="137"/>
      <c r="AE43" s="145"/>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7"/>
      <c r="BB43" s="146"/>
    </row>
    <row r="44" spans="1:54" s="19" customFormat="1" ht="25.5" hidden="1" customHeight="1" outlineLevel="1">
      <c r="A44" s="142" t="s">
        <v>30</v>
      </c>
      <c r="B44" s="143" t="s">
        <v>497</v>
      </c>
      <c r="C44" s="144"/>
      <c r="D44" s="144"/>
      <c r="E44" s="136">
        <f t="shared" si="1"/>
        <v>0</v>
      </c>
      <c r="F44" s="145"/>
      <c r="G44" s="146"/>
      <c r="H44" s="146"/>
      <c r="I44" s="146"/>
      <c r="J44" s="146"/>
      <c r="K44" s="146"/>
      <c r="L44" s="146"/>
      <c r="M44" s="146"/>
      <c r="N44" s="146"/>
      <c r="O44" s="146"/>
      <c r="P44" s="146"/>
      <c r="Q44" s="146"/>
      <c r="R44" s="146"/>
      <c r="S44" s="146"/>
      <c r="T44" s="146"/>
      <c r="U44" s="146"/>
      <c r="V44" s="146"/>
      <c r="W44" s="146"/>
      <c r="X44" s="146"/>
      <c r="Y44" s="146"/>
      <c r="Z44" s="146"/>
      <c r="AA44" s="146">
        <f t="shared" si="5"/>
        <v>0</v>
      </c>
      <c r="AB44" s="148"/>
      <c r="AC44" s="146"/>
      <c r="AD44" s="137"/>
      <c r="AE44" s="145"/>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8"/>
      <c r="BB44" s="146"/>
    </row>
    <row r="45" spans="1:54" s="19" customFormat="1" ht="38.25" hidden="1" customHeight="1" outlineLevel="1">
      <c r="A45" s="142" t="s">
        <v>30</v>
      </c>
      <c r="B45" s="143" t="s">
        <v>498</v>
      </c>
      <c r="C45" s="144"/>
      <c r="D45" s="144"/>
      <c r="E45" s="136">
        <f t="shared" si="1"/>
        <v>0</v>
      </c>
      <c r="F45" s="149"/>
      <c r="G45" s="146"/>
      <c r="H45" s="146"/>
      <c r="I45" s="146"/>
      <c r="J45" s="146"/>
      <c r="K45" s="146"/>
      <c r="L45" s="146"/>
      <c r="M45" s="146"/>
      <c r="N45" s="146"/>
      <c r="O45" s="146"/>
      <c r="P45" s="146"/>
      <c r="Q45" s="146"/>
      <c r="R45" s="146"/>
      <c r="S45" s="146"/>
      <c r="T45" s="146"/>
      <c r="U45" s="146"/>
      <c r="V45" s="146"/>
      <c r="W45" s="146"/>
      <c r="X45" s="146"/>
      <c r="Y45" s="146"/>
      <c r="Z45" s="146"/>
      <c r="AA45" s="146">
        <f t="shared" si="5"/>
        <v>0</v>
      </c>
      <c r="AB45" s="148"/>
      <c r="AC45" s="146"/>
      <c r="AD45" s="137"/>
      <c r="AE45" s="149"/>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8"/>
      <c r="BB45" s="146"/>
    </row>
    <row r="46" spans="1:54" s="19" customFormat="1" ht="25.5" hidden="1" customHeight="1" outlineLevel="1">
      <c r="A46" s="142" t="s">
        <v>30</v>
      </c>
      <c r="B46" s="143" t="s">
        <v>499</v>
      </c>
      <c r="C46" s="144"/>
      <c r="D46" s="144"/>
      <c r="E46" s="136">
        <f t="shared" si="1"/>
        <v>0</v>
      </c>
      <c r="F46" s="145"/>
      <c r="G46" s="146"/>
      <c r="H46" s="146"/>
      <c r="I46" s="146"/>
      <c r="J46" s="146"/>
      <c r="K46" s="146"/>
      <c r="L46" s="146"/>
      <c r="M46" s="146"/>
      <c r="N46" s="146"/>
      <c r="O46" s="146"/>
      <c r="P46" s="146"/>
      <c r="Q46" s="146"/>
      <c r="R46" s="146"/>
      <c r="S46" s="146"/>
      <c r="T46" s="146"/>
      <c r="U46" s="146"/>
      <c r="V46" s="146"/>
      <c r="W46" s="146"/>
      <c r="X46" s="146"/>
      <c r="Y46" s="146"/>
      <c r="Z46" s="146"/>
      <c r="AA46" s="146">
        <f t="shared" si="5"/>
        <v>0</v>
      </c>
      <c r="AB46" s="148"/>
      <c r="AC46" s="146"/>
      <c r="AD46" s="137"/>
      <c r="AE46" s="145"/>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8"/>
      <c r="BB46" s="146"/>
    </row>
    <row r="47" spans="1:54" s="19" customFormat="1" ht="25.5" hidden="1" customHeight="1" outlineLevel="1">
      <c r="A47" s="142" t="s">
        <v>30</v>
      </c>
      <c r="B47" s="143" t="s">
        <v>500</v>
      </c>
      <c r="C47" s="144"/>
      <c r="D47" s="144"/>
      <c r="E47" s="136">
        <f t="shared" si="1"/>
        <v>0</v>
      </c>
      <c r="F47" s="145"/>
      <c r="G47" s="146"/>
      <c r="H47" s="146"/>
      <c r="I47" s="146"/>
      <c r="J47" s="146"/>
      <c r="K47" s="146"/>
      <c r="L47" s="146"/>
      <c r="M47" s="146"/>
      <c r="N47" s="146"/>
      <c r="O47" s="146"/>
      <c r="P47" s="146"/>
      <c r="Q47" s="146"/>
      <c r="R47" s="146"/>
      <c r="S47" s="146"/>
      <c r="T47" s="146"/>
      <c r="U47" s="146"/>
      <c r="V47" s="146"/>
      <c r="W47" s="146"/>
      <c r="X47" s="146"/>
      <c r="Y47" s="146"/>
      <c r="Z47" s="146"/>
      <c r="AA47" s="146">
        <f t="shared" si="5"/>
        <v>0</v>
      </c>
      <c r="AB47" s="150"/>
      <c r="AC47" s="146"/>
      <c r="AD47" s="137"/>
      <c r="AE47" s="145"/>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50"/>
      <c r="BB47" s="146"/>
    </row>
    <row r="48" spans="1:54" s="19" customFormat="1" ht="25.5" collapsed="1">
      <c r="A48" s="142">
        <v>10</v>
      </c>
      <c r="B48" s="143" t="s">
        <v>501</v>
      </c>
      <c r="C48" s="144"/>
      <c r="D48" s="144"/>
      <c r="E48" s="136">
        <f t="shared" si="1"/>
        <v>0</v>
      </c>
      <c r="F48" s="145">
        <f t="shared" ref="F48" si="13">SUBTOTAL(9,F49:F51)</f>
        <v>0</v>
      </c>
      <c r="G48" s="146"/>
      <c r="H48" s="146"/>
      <c r="I48" s="146"/>
      <c r="J48" s="146"/>
      <c r="K48" s="146"/>
      <c r="L48" s="146"/>
      <c r="M48" s="146"/>
      <c r="N48" s="146"/>
      <c r="O48" s="146"/>
      <c r="P48" s="146"/>
      <c r="Q48" s="146"/>
      <c r="R48" s="146"/>
      <c r="S48" s="146"/>
      <c r="T48" s="146"/>
      <c r="U48" s="146"/>
      <c r="V48" s="146"/>
      <c r="W48" s="146"/>
      <c r="X48" s="146"/>
      <c r="Y48" s="146"/>
      <c r="Z48" s="146"/>
      <c r="AA48" s="146">
        <f t="shared" si="5"/>
        <v>0</v>
      </c>
      <c r="AB48" s="147"/>
      <c r="AC48" s="146"/>
      <c r="AD48" s="137"/>
      <c r="AE48" s="145"/>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7"/>
      <c r="BB48" s="146"/>
    </row>
    <row r="49" spans="1:54" s="19" customFormat="1" ht="51" hidden="1" customHeight="1" outlineLevel="1">
      <c r="A49" s="142" t="s">
        <v>30</v>
      </c>
      <c r="B49" s="143" t="s">
        <v>502</v>
      </c>
      <c r="C49" s="144"/>
      <c r="D49" s="144"/>
      <c r="E49" s="136">
        <f t="shared" si="1"/>
        <v>0</v>
      </c>
      <c r="F49" s="145"/>
      <c r="G49" s="146"/>
      <c r="H49" s="146"/>
      <c r="I49" s="146"/>
      <c r="J49" s="146"/>
      <c r="K49" s="146"/>
      <c r="L49" s="146"/>
      <c r="M49" s="146"/>
      <c r="N49" s="146"/>
      <c r="O49" s="146"/>
      <c r="P49" s="146"/>
      <c r="Q49" s="146"/>
      <c r="R49" s="146"/>
      <c r="S49" s="146"/>
      <c r="T49" s="146"/>
      <c r="U49" s="146"/>
      <c r="V49" s="146"/>
      <c r="W49" s="146"/>
      <c r="X49" s="146"/>
      <c r="Y49" s="146"/>
      <c r="Z49" s="146"/>
      <c r="AA49" s="146">
        <f t="shared" si="5"/>
        <v>0</v>
      </c>
      <c r="AB49" s="148"/>
      <c r="AC49" s="146"/>
      <c r="AD49" s="137"/>
      <c r="AE49" s="145"/>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8"/>
      <c r="BB49" s="146"/>
    </row>
    <row r="50" spans="1:54" s="19" customFormat="1" ht="25.5" hidden="1" customHeight="1" outlineLevel="1">
      <c r="A50" s="142" t="s">
        <v>30</v>
      </c>
      <c r="B50" s="143" t="s">
        <v>503</v>
      </c>
      <c r="C50" s="144"/>
      <c r="D50" s="144"/>
      <c r="E50" s="136">
        <f t="shared" si="1"/>
        <v>0</v>
      </c>
      <c r="F50" s="145"/>
      <c r="G50" s="146"/>
      <c r="H50" s="146"/>
      <c r="I50" s="146"/>
      <c r="J50" s="146"/>
      <c r="K50" s="146"/>
      <c r="L50" s="146"/>
      <c r="M50" s="146"/>
      <c r="N50" s="146"/>
      <c r="O50" s="146"/>
      <c r="P50" s="146"/>
      <c r="Q50" s="146"/>
      <c r="R50" s="146"/>
      <c r="S50" s="146"/>
      <c r="T50" s="146"/>
      <c r="U50" s="146"/>
      <c r="V50" s="146"/>
      <c r="W50" s="146"/>
      <c r="X50" s="146"/>
      <c r="Y50" s="146"/>
      <c r="Z50" s="146"/>
      <c r="AA50" s="146">
        <f t="shared" si="5"/>
        <v>0</v>
      </c>
      <c r="AB50" s="148"/>
      <c r="AC50" s="146"/>
      <c r="AD50" s="137"/>
      <c r="AE50" s="145"/>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8"/>
      <c r="BB50" s="146"/>
    </row>
    <row r="51" spans="1:54" s="19" customFormat="1" ht="25.5" hidden="1" customHeight="1" outlineLevel="1">
      <c r="A51" s="142" t="s">
        <v>30</v>
      </c>
      <c r="B51" s="143" t="s">
        <v>504</v>
      </c>
      <c r="C51" s="144"/>
      <c r="D51" s="144"/>
      <c r="E51" s="136">
        <f t="shared" si="1"/>
        <v>0</v>
      </c>
      <c r="F51" s="145"/>
      <c r="G51" s="146"/>
      <c r="H51" s="146"/>
      <c r="I51" s="146"/>
      <c r="J51" s="146"/>
      <c r="K51" s="146"/>
      <c r="L51" s="146"/>
      <c r="M51" s="146"/>
      <c r="N51" s="146"/>
      <c r="O51" s="146"/>
      <c r="P51" s="146"/>
      <c r="Q51" s="146"/>
      <c r="R51" s="146"/>
      <c r="S51" s="146"/>
      <c r="T51" s="146"/>
      <c r="U51" s="146"/>
      <c r="V51" s="146"/>
      <c r="W51" s="146"/>
      <c r="X51" s="146"/>
      <c r="Y51" s="146"/>
      <c r="Z51" s="146"/>
      <c r="AA51" s="146">
        <f t="shared" si="5"/>
        <v>0</v>
      </c>
      <c r="AB51" s="148"/>
      <c r="AC51" s="146"/>
      <c r="AD51" s="137"/>
      <c r="AE51" s="145"/>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8"/>
      <c r="BB51" s="146"/>
    </row>
    <row r="52" spans="1:54" s="19" customFormat="1" ht="25.5" collapsed="1">
      <c r="A52" s="142">
        <v>11</v>
      </c>
      <c r="B52" s="143" t="s">
        <v>505</v>
      </c>
      <c r="C52" s="144"/>
      <c r="D52" s="144"/>
      <c r="E52" s="136">
        <f t="shared" si="1"/>
        <v>0</v>
      </c>
      <c r="F52" s="145">
        <f t="shared" ref="F52" si="14">SUBTOTAL(9,F53:F56)</f>
        <v>0</v>
      </c>
      <c r="G52" s="146"/>
      <c r="H52" s="146"/>
      <c r="I52" s="146"/>
      <c r="J52" s="146"/>
      <c r="K52" s="146"/>
      <c r="L52" s="146"/>
      <c r="M52" s="146"/>
      <c r="N52" s="146"/>
      <c r="O52" s="146"/>
      <c r="P52" s="146"/>
      <c r="Q52" s="146"/>
      <c r="R52" s="146"/>
      <c r="S52" s="146"/>
      <c r="T52" s="146"/>
      <c r="U52" s="146"/>
      <c r="V52" s="146"/>
      <c r="W52" s="146"/>
      <c r="X52" s="146"/>
      <c r="Y52" s="146"/>
      <c r="Z52" s="146"/>
      <c r="AA52" s="146">
        <f t="shared" si="5"/>
        <v>0</v>
      </c>
      <c r="AB52" s="147"/>
      <c r="AC52" s="146"/>
      <c r="AD52" s="137"/>
      <c r="AE52" s="145"/>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7"/>
      <c r="BB52" s="146"/>
    </row>
    <row r="53" spans="1:54" s="19" customFormat="1" ht="38.25" hidden="1" customHeight="1" outlineLevel="1">
      <c r="A53" s="142" t="s">
        <v>30</v>
      </c>
      <c r="B53" s="143" t="s">
        <v>506</v>
      </c>
      <c r="C53" s="144"/>
      <c r="D53" s="144"/>
      <c r="E53" s="136">
        <f t="shared" si="1"/>
        <v>0</v>
      </c>
      <c r="F53" s="145"/>
      <c r="G53" s="146"/>
      <c r="H53" s="146"/>
      <c r="I53" s="146"/>
      <c r="J53" s="146"/>
      <c r="K53" s="146"/>
      <c r="L53" s="146"/>
      <c r="M53" s="146"/>
      <c r="N53" s="146"/>
      <c r="O53" s="146"/>
      <c r="P53" s="146"/>
      <c r="Q53" s="146"/>
      <c r="R53" s="146"/>
      <c r="S53" s="146"/>
      <c r="T53" s="146"/>
      <c r="U53" s="146"/>
      <c r="V53" s="146"/>
      <c r="W53" s="146"/>
      <c r="X53" s="146"/>
      <c r="Y53" s="146"/>
      <c r="Z53" s="146"/>
      <c r="AA53" s="146">
        <f t="shared" si="5"/>
        <v>0</v>
      </c>
      <c r="AB53" s="148"/>
      <c r="AC53" s="146"/>
      <c r="AD53" s="137"/>
      <c r="AE53" s="145"/>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8"/>
      <c r="BB53" s="146"/>
    </row>
    <row r="54" spans="1:54" s="19" customFormat="1" ht="25.5" hidden="1" customHeight="1" outlineLevel="1">
      <c r="A54" s="142" t="s">
        <v>30</v>
      </c>
      <c r="B54" s="143" t="s">
        <v>507</v>
      </c>
      <c r="C54" s="144"/>
      <c r="D54" s="144"/>
      <c r="E54" s="136">
        <f t="shared" si="1"/>
        <v>0</v>
      </c>
      <c r="F54" s="145"/>
      <c r="G54" s="146"/>
      <c r="H54" s="146"/>
      <c r="I54" s="146"/>
      <c r="J54" s="146"/>
      <c r="K54" s="146"/>
      <c r="L54" s="146"/>
      <c r="M54" s="146"/>
      <c r="N54" s="146"/>
      <c r="O54" s="146"/>
      <c r="P54" s="146"/>
      <c r="Q54" s="146"/>
      <c r="R54" s="146"/>
      <c r="S54" s="146"/>
      <c r="T54" s="146"/>
      <c r="U54" s="146"/>
      <c r="V54" s="146"/>
      <c r="W54" s="146"/>
      <c r="X54" s="146"/>
      <c r="Y54" s="146"/>
      <c r="Z54" s="146"/>
      <c r="AA54" s="146">
        <f t="shared" si="5"/>
        <v>0</v>
      </c>
      <c r="AB54" s="148"/>
      <c r="AC54" s="146"/>
      <c r="AD54" s="137"/>
      <c r="AE54" s="145"/>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8"/>
      <c r="BB54" s="146"/>
    </row>
    <row r="55" spans="1:54" s="19" customFormat="1" ht="25.5" hidden="1" customHeight="1" outlineLevel="1">
      <c r="A55" s="142" t="s">
        <v>30</v>
      </c>
      <c r="B55" s="143" t="s">
        <v>508</v>
      </c>
      <c r="C55" s="144"/>
      <c r="D55" s="144"/>
      <c r="E55" s="136">
        <f t="shared" si="1"/>
        <v>0</v>
      </c>
      <c r="F55" s="145"/>
      <c r="G55" s="146"/>
      <c r="H55" s="146"/>
      <c r="I55" s="146"/>
      <c r="J55" s="146"/>
      <c r="K55" s="146"/>
      <c r="L55" s="146"/>
      <c r="M55" s="146"/>
      <c r="N55" s="146"/>
      <c r="O55" s="146"/>
      <c r="P55" s="146"/>
      <c r="Q55" s="146"/>
      <c r="R55" s="146"/>
      <c r="S55" s="146"/>
      <c r="T55" s="146"/>
      <c r="U55" s="146"/>
      <c r="V55" s="146"/>
      <c r="W55" s="146"/>
      <c r="X55" s="146"/>
      <c r="Y55" s="146"/>
      <c r="Z55" s="146"/>
      <c r="AA55" s="146">
        <f t="shared" si="5"/>
        <v>0</v>
      </c>
      <c r="AB55" s="148"/>
      <c r="AC55" s="146"/>
      <c r="AD55" s="137"/>
      <c r="AE55" s="145"/>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8"/>
      <c r="BB55" s="146"/>
    </row>
    <row r="56" spans="1:54" s="19" customFormat="1" ht="25.5" hidden="1" customHeight="1" outlineLevel="1">
      <c r="A56" s="142" t="s">
        <v>30</v>
      </c>
      <c r="B56" s="143" t="s">
        <v>509</v>
      </c>
      <c r="C56" s="144"/>
      <c r="D56" s="144"/>
      <c r="E56" s="136">
        <f t="shared" si="1"/>
        <v>0</v>
      </c>
      <c r="F56" s="145"/>
      <c r="G56" s="146"/>
      <c r="H56" s="146"/>
      <c r="I56" s="146"/>
      <c r="J56" s="146"/>
      <c r="K56" s="146"/>
      <c r="L56" s="146"/>
      <c r="M56" s="146"/>
      <c r="N56" s="146"/>
      <c r="O56" s="146"/>
      <c r="P56" s="146"/>
      <c r="Q56" s="146"/>
      <c r="R56" s="146"/>
      <c r="S56" s="146"/>
      <c r="T56" s="146"/>
      <c r="U56" s="146"/>
      <c r="V56" s="146"/>
      <c r="W56" s="146"/>
      <c r="X56" s="146"/>
      <c r="Y56" s="146"/>
      <c r="Z56" s="146"/>
      <c r="AA56" s="146">
        <f t="shared" si="5"/>
        <v>0</v>
      </c>
      <c r="AB56" s="148"/>
      <c r="AC56" s="146"/>
      <c r="AD56" s="137"/>
      <c r="AE56" s="145"/>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8"/>
      <c r="BB56" s="146"/>
    </row>
    <row r="57" spans="1:54" s="19" customFormat="1" ht="25.5" collapsed="1">
      <c r="A57" s="142">
        <v>12</v>
      </c>
      <c r="B57" s="143" t="s">
        <v>510</v>
      </c>
      <c r="C57" s="144"/>
      <c r="D57" s="144"/>
      <c r="E57" s="136">
        <f t="shared" si="1"/>
        <v>0</v>
      </c>
      <c r="F57" s="145">
        <f t="shared" ref="F57" si="15">SUBTOTAL(9,F58)</f>
        <v>0</v>
      </c>
      <c r="G57" s="146"/>
      <c r="H57" s="146"/>
      <c r="I57" s="146"/>
      <c r="J57" s="146"/>
      <c r="K57" s="146"/>
      <c r="L57" s="146"/>
      <c r="M57" s="146"/>
      <c r="N57" s="146"/>
      <c r="O57" s="146"/>
      <c r="P57" s="146"/>
      <c r="Q57" s="146"/>
      <c r="R57" s="146"/>
      <c r="S57" s="146"/>
      <c r="T57" s="146"/>
      <c r="U57" s="146"/>
      <c r="V57" s="146"/>
      <c r="W57" s="146"/>
      <c r="X57" s="146"/>
      <c r="Y57" s="146"/>
      <c r="Z57" s="146"/>
      <c r="AA57" s="146">
        <f t="shared" si="5"/>
        <v>0</v>
      </c>
      <c r="AB57" s="147"/>
      <c r="AC57" s="146"/>
      <c r="AD57" s="137"/>
      <c r="AE57" s="145"/>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7"/>
      <c r="BB57" s="146"/>
    </row>
    <row r="58" spans="1:54" s="19" customFormat="1" ht="38.25" hidden="1" customHeight="1" outlineLevel="1">
      <c r="A58" s="142" t="s">
        <v>30</v>
      </c>
      <c r="B58" s="143" t="s">
        <v>511</v>
      </c>
      <c r="C58" s="144"/>
      <c r="D58" s="144"/>
      <c r="E58" s="136">
        <f t="shared" si="1"/>
        <v>0</v>
      </c>
      <c r="F58" s="145"/>
      <c r="G58" s="146"/>
      <c r="H58" s="146"/>
      <c r="I58" s="146"/>
      <c r="J58" s="146"/>
      <c r="K58" s="146"/>
      <c r="L58" s="146"/>
      <c r="M58" s="146"/>
      <c r="N58" s="146"/>
      <c r="O58" s="146"/>
      <c r="P58" s="146"/>
      <c r="Q58" s="146"/>
      <c r="R58" s="146"/>
      <c r="S58" s="146"/>
      <c r="T58" s="146"/>
      <c r="U58" s="146"/>
      <c r="V58" s="146"/>
      <c r="W58" s="146"/>
      <c r="X58" s="146"/>
      <c r="Y58" s="146"/>
      <c r="Z58" s="146"/>
      <c r="AA58" s="146">
        <f t="shared" si="5"/>
        <v>0</v>
      </c>
      <c r="AB58" s="148"/>
      <c r="AC58" s="146"/>
      <c r="AD58" s="137"/>
      <c r="AE58" s="145"/>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8"/>
      <c r="BB58" s="146"/>
    </row>
    <row r="59" spans="1:54" s="19" customFormat="1" ht="15" collapsed="1">
      <c r="A59" s="142">
        <v>13</v>
      </c>
      <c r="B59" s="143" t="s">
        <v>308</v>
      </c>
      <c r="C59" s="144"/>
      <c r="D59" s="144"/>
      <c r="E59" s="136">
        <f t="shared" si="1"/>
        <v>0</v>
      </c>
      <c r="F59" s="145">
        <f>SUBTOTAL(9,F60:F66)</f>
        <v>0</v>
      </c>
      <c r="G59" s="146"/>
      <c r="H59" s="146"/>
      <c r="I59" s="146"/>
      <c r="J59" s="146"/>
      <c r="K59" s="146"/>
      <c r="L59" s="146"/>
      <c r="M59" s="146"/>
      <c r="N59" s="146"/>
      <c r="O59" s="146"/>
      <c r="P59" s="146"/>
      <c r="Q59" s="146"/>
      <c r="R59" s="146"/>
      <c r="S59" s="146"/>
      <c r="T59" s="146"/>
      <c r="U59" s="146"/>
      <c r="V59" s="146"/>
      <c r="W59" s="146"/>
      <c r="X59" s="146"/>
      <c r="Y59" s="146"/>
      <c r="Z59" s="146"/>
      <c r="AA59" s="146">
        <f t="shared" si="5"/>
        <v>0</v>
      </c>
      <c r="AB59" s="147"/>
      <c r="AC59" s="146"/>
      <c r="AD59" s="137"/>
      <c r="AE59" s="145"/>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7"/>
      <c r="BB59" s="146"/>
    </row>
    <row r="60" spans="1:54" s="19" customFormat="1" ht="30" hidden="1" customHeight="1" outlineLevel="1">
      <c r="A60" s="142" t="s">
        <v>30</v>
      </c>
      <c r="B60" s="143" t="s">
        <v>512</v>
      </c>
      <c r="C60" s="144"/>
      <c r="D60" s="144"/>
      <c r="E60" s="136">
        <f t="shared" si="1"/>
        <v>0</v>
      </c>
      <c r="F60" s="145"/>
      <c r="G60" s="146"/>
      <c r="H60" s="146"/>
      <c r="I60" s="146"/>
      <c r="J60" s="146"/>
      <c r="K60" s="146"/>
      <c r="L60" s="146"/>
      <c r="M60" s="146"/>
      <c r="N60" s="146"/>
      <c r="O60" s="146"/>
      <c r="P60" s="146"/>
      <c r="Q60" s="146"/>
      <c r="R60" s="146"/>
      <c r="S60" s="146"/>
      <c r="T60" s="146"/>
      <c r="U60" s="146"/>
      <c r="V60" s="146"/>
      <c r="W60" s="146"/>
      <c r="X60" s="146"/>
      <c r="Y60" s="146"/>
      <c r="Z60" s="146"/>
      <c r="AA60" s="146">
        <f t="shared" si="5"/>
        <v>0</v>
      </c>
      <c r="AB60" s="148"/>
      <c r="AC60" s="146"/>
      <c r="AD60" s="137"/>
      <c r="AE60" s="145"/>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8"/>
      <c r="BB60" s="146"/>
    </row>
    <row r="61" spans="1:54" s="19" customFormat="1" ht="25.5" hidden="1" customHeight="1" outlineLevel="1">
      <c r="A61" s="142" t="s">
        <v>30</v>
      </c>
      <c r="B61" s="143" t="s">
        <v>513</v>
      </c>
      <c r="C61" s="144"/>
      <c r="D61" s="144"/>
      <c r="E61" s="136">
        <f t="shared" si="1"/>
        <v>0</v>
      </c>
      <c r="F61" s="145"/>
      <c r="G61" s="146"/>
      <c r="H61" s="146"/>
      <c r="I61" s="146"/>
      <c r="J61" s="146"/>
      <c r="K61" s="146"/>
      <c r="L61" s="146"/>
      <c r="M61" s="146"/>
      <c r="N61" s="146"/>
      <c r="O61" s="146"/>
      <c r="P61" s="146"/>
      <c r="Q61" s="146"/>
      <c r="R61" s="146"/>
      <c r="S61" s="146"/>
      <c r="T61" s="146"/>
      <c r="U61" s="146"/>
      <c r="V61" s="146"/>
      <c r="W61" s="146"/>
      <c r="X61" s="146"/>
      <c r="Y61" s="146"/>
      <c r="Z61" s="146"/>
      <c r="AA61" s="146">
        <f t="shared" si="5"/>
        <v>0</v>
      </c>
      <c r="AB61" s="148"/>
      <c r="AC61" s="146"/>
      <c r="AD61" s="137"/>
      <c r="AE61" s="145"/>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8"/>
      <c r="BB61" s="146"/>
    </row>
    <row r="62" spans="1:54" s="19" customFormat="1" ht="15" hidden="1" customHeight="1" outlineLevel="1">
      <c r="A62" s="142" t="s">
        <v>30</v>
      </c>
      <c r="B62" s="143" t="s">
        <v>514</v>
      </c>
      <c r="C62" s="144"/>
      <c r="D62" s="144"/>
      <c r="E62" s="136">
        <f t="shared" si="1"/>
        <v>0</v>
      </c>
      <c r="F62" s="145"/>
      <c r="G62" s="146"/>
      <c r="H62" s="146"/>
      <c r="I62" s="146"/>
      <c r="J62" s="146"/>
      <c r="K62" s="146"/>
      <c r="L62" s="146"/>
      <c r="M62" s="146"/>
      <c r="N62" s="146"/>
      <c r="O62" s="146"/>
      <c r="P62" s="146"/>
      <c r="Q62" s="146"/>
      <c r="R62" s="146"/>
      <c r="S62" s="146"/>
      <c r="T62" s="146"/>
      <c r="U62" s="146"/>
      <c r="V62" s="146"/>
      <c r="W62" s="146"/>
      <c r="X62" s="146"/>
      <c r="Y62" s="146"/>
      <c r="Z62" s="146"/>
      <c r="AA62" s="146">
        <f t="shared" si="5"/>
        <v>0</v>
      </c>
      <c r="AB62" s="148"/>
      <c r="AC62" s="146"/>
      <c r="AD62" s="137"/>
      <c r="AE62" s="145"/>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8"/>
      <c r="BB62" s="146"/>
    </row>
    <row r="63" spans="1:54" s="19" customFormat="1" ht="15" hidden="1" customHeight="1" outlineLevel="1">
      <c r="A63" s="142" t="s">
        <v>30</v>
      </c>
      <c r="B63" s="143" t="s">
        <v>515</v>
      </c>
      <c r="C63" s="144"/>
      <c r="D63" s="144"/>
      <c r="E63" s="136">
        <f t="shared" si="1"/>
        <v>0</v>
      </c>
      <c r="F63" s="145"/>
      <c r="G63" s="146"/>
      <c r="H63" s="146"/>
      <c r="I63" s="146"/>
      <c r="J63" s="146"/>
      <c r="K63" s="146"/>
      <c r="L63" s="146"/>
      <c r="M63" s="146"/>
      <c r="N63" s="146"/>
      <c r="O63" s="146"/>
      <c r="P63" s="146"/>
      <c r="Q63" s="146"/>
      <c r="R63" s="146"/>
      <c r="S63" s="146"/>
      <c r="T63" s="146"/>
      <c r="U63" s="146"/>
      <c r="V63" s="146"/>
      <c r="W63" s="146"/>
      <c r="X63" s="146"/>
      <c r="Y63" s="146"/>
      <c r="Z63" s="146"/>
      <c r="AA63" s="146">
        <f t="shared" si="5"/>
        <v>0</v>
      </c>
      <c r="AB63" s="148"/>
      <c r="AC63" s="146"/>
      <c r="AD63" s="137"/>
      <c r="AE63" s="145"/>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8"/>
      <c r="BB63" s="146"/>
    </row>
    <row r="64" spans="1:54" s="19" customFormat="1" ht="15" hidden="1" customHeight="1" outlineLevel="1">
      <c r="A64" s="142" t="s">
        <v>30</v>
      </c>
      <c r="B64" s="143" t="s">
        <v>516</v>
      </c>
      <c r="C64" s="144"/>
      <c r="D64" s="144"/>
      <c r="E64" s="136">
        <f t="shared" si="1"/>
        <v>0</v>
      </c>
      <c r="F64" s="145"/>
      <c r="G64" s="146"/>
      <c r="H64" s="146"/>
      <c r="I64" s="146"/>
      <c r="J64" s="146"/>
      <c r="K64" s="146"/>
      <c r="L64" s="146"/>
      <c r="M64" s="146"/>
      <c r="N64" s="146"/>
      <c r="O64" s="146"/>
      <c r="P64" s="146"/>
      <c r="Q64" s="146"/>
      <c r="R64" s="146"/>
      <c r="S64" s="146"/>
      <c r="T64" s="146"/>
      <c r="U64" s="146"/>
      <c r="V64" s="146"/>
      <c r="W64" s="146"/>
      <c r="X64" s="146"/>
      <c r="Y64" s="146"/>
      <c r="Z64" s="146"/>
      <c r="AA64" s="146">
        <f t="shared" si="5"/>
        <v>0</v>
      </c>
      <c r="AB64" s="148"/>
      <c r="AC64" s="146"/>
      <c r="AD64" s="137"/>
      <c r="AE64" s="145"/>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8"/>
      <c r="BB64" s="146"/>
    </row>
    <row r="65" spans="1:54" s="19" customFormat="1" ht="15" hidden="1" customHeight="1" outlineLevel="1">
      <c r="A65" s="151" t="s">
        <v>30</v>
      </c>
      <c r="B65" s="143" t="s">
        <v>379</v>
      </c>
      <c r="C65" s="144"/>
      <c r="D65" s="144"/>
      <c r="E65" s="136">
        <f t="shared" si="1"/>
        <v>0</v>
      </c>
      <c r="F65" s="145"/>
      <c r="G65" s="146"/>
      <c r="H65" s="146"/>
      <c r="I65" s="146"/>
      <c r="J65" s="146"/>
      <c r="K65" s="146"/>
      <c r="L65" s="146"/>
      <c r="M65" s="146"/>
      <c r="N65" s="146"/>
      <c r="O65" s="146"/>
      <c r="P65" s="146"/>
      <c r="Q65" s="146"/>
      <c r="R65" s="146"/>
      <c r="S65" s="146"/>
      <c r="T65" s="146"/>
      <c r="U65" s="146"/>
      <c r="V65" s="146"/>
      <c r="W65" s="146"/>
      <c r="X65" s="146"/>
      <c r="Y65" s="146"/>
      <c r="Z65" s="146"/>
      <c r="AA65" s="146">
        <f>AB65+AC65</f>
        <v>0</v>
      </c>
      <c r="AB65" s="147"/>
      <c r="AC65" s="146"/>
      <c r="AD65" s="137"/>
      <c r="AE65" s="145"/>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7"/>
      <c r="BB65" s="146"/>
    </row>
    <row r="66" spans="1:54" s="19" customFormat="1" ht="25.5" hidden="1" customHeight="1" outlineLevel="1">
      <c r="A66" s="142"/>
      <c r="B66" s="143" t="s">
        <v>517</v>
      </c>
      <c r="C66" s="144"/>
      <c r="D66" s="144"/>
      <c r="E66" s="136">
        <f t="shared" si="1"/>
        <v>0</v>
      </c>
      <c r="F66" s="145"/>
      <c r="G66" s="146"/>
      <c r="H66" s="146"/>
      <c r="I66" s="146"/>
      <c r="J66" s="146"/>
      <c r="K66" s="146"/>
      <c r="L66" s="146"/>
      <c r="M66" s="146"/>
      <c r="N66" s="146"/>
      <c r="O66" s="146"/>
      <c r="P66" s="146"/>
      <c r="Q66" s="146"/>
      <c r="R66" s="146"/>
      <c r="S66" s="146"/>
      <c r="T66" s="146"/>
      <c r="U66" s="146"/>
      <c r="V66" s="146"/>
      <c r="W66" s="146"/>
      <c r="X66" s="146"/>
      <c r="Y66" s="146"/>
      <c r="Z66" s="146"/>
      <c r="AA66" s="146">
        <f>AB66+AC66</f>
        <v>0</v>
      </c>
      <c r="AB66" s="148"/>
      <c r="AC66" s="146"/>
      <c r="AD66" s="137"/>
      <c r="AE66" s="145"/>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8"/>
      <c r="BB66" s="146"/>
    </row>
    <row r="67" spans="1:54" s="19" customFormat="1" ht="15" collapsed="1">
      <c r="A67" s="142">
        <v>14</v>
      </c>
      <c r="B67" s="143" t="s">
        <v>518</v>
      </c>
      <c r="C67" s="144"/>
      <c r="D67" s="144"/>
      <c r="E67" s="136">
        <f t="shared" si="1"/>
        <v>0</v>
      </c>
      <c r="F67" s="145"/>
      <c r="G67" s="146"/>
      <c r="H67" s="146"/>
      <c r="I67" s="146"/>
      <c r="J67" s="146"/>
      <c r="K67" s="146"/>
      <c r="L67" s="146"/>
      <c r="M67" s="146"/>
      <c r="N67" s="146"/>
      <c r="O67" s="146"/>
      <c r="P67" s="146"/>
      <c r="Q67" s="146"/>
      <c r="R67" s="146"/>
      <c r="S67" s="146"/>
      <c r="T67" s="146"/>
      <c r="U67" s="146"/>
      <c r="V67" s="146"/>
      <c r="W67" s="146"/>
      <c r="X67" s="146"/>
      <c r="Y67" s="146"/>
      <c r="Z67" s="146"/>
      <c r="AA67" s="146">
        <f t="shared" si="5"/>
        <v>0</v>
      </c>
      <c r="AB67" s="147"/>
      <c r="AC67" s="146"/>
      <c r="AD67" s="137"/>
      <c r="AE67" s="145"/>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7"/>
      <c r="BB67" s="146"/>
    </row>
    <row r="68" spans="1:54" s="19" customFormat="1" ht="41.25" hidden="1" customHeight="1" outlineLevel="1">
      <c r="A68" s="142" t="s">
        <v>30</v>
      </c>
      <c r="B68" s="143" t="s">
        <v>519</v>
      </c>
      <c r="C68" s="144"/>
      <c r="D68" s="144"/>
      <c r="E68" s="136">
        <f t="shared" si="1"/>
        <v>0</v>
      </c>
      <c r="F68" s="145"/>
      <c r="G68" s="146"/>
      <c r="H68" s="146"/>
      <c r="I68" s="146"/>
      <c r="J68" s="146"/>
      <c r="K68" s="146"/>
      <c r="L68" s="146"/>
      <c r="M68" s="146"/>
      <c r="N68" s="146"/>
      <c r="O68" s="146"/>
      <c r="P68" s="146"/>
      <c r="Q68" s="146"/>
      <c r="R68" s="146"/>
      <c r="S68" s="146"/>
      <c r="T68" s="146"/>
      <c r="U68" s="146"/>
      <c r="V68" s="146"/>
      <c r="W68" s="146"/>
      <c r="X68" s="146"/>
      <c r="Y68" s="146"/>
      <c r="Z68" s="146"/>
      <c r="AA68" s="146">
        <f t="shared" si="5"/>
        <v>0</v>
      </c>
      <c r="AB68" s="148"/>
      <c r="AC68" s="146"/>
      <c r="AD68" s="137"/>
      <c r="AE68" s="145"/>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8"/>
      <c r="BB68" s="146"/>
    </row>
    <row r="69" spans="1:54" s="19" customFormat="1" ht="38.25" hidden="1" customHeight="1" outlineLevel="1">
      <c r="A69" s="142" t="s">
        <v>30</v>
      </c>
      <c r="B69" s="143" t="s">
        <v>520</v>
      </c>
      <c r="C69" s="144"/>
      <c r="D69" s="144"/>
      <c r="E69" s="136">
        <f t="shared" si="1"/>
        <v>0</v>
      </c>
      <c r="F69" s="145"/>
      <c r="G69" s="146"/>
      <c r="H69" s="146"/>
      <c r="I69" s="146"/>
      <c r="J69" s="146"/>
      <c r="K69" s="146"/>
      <c r="L69" s="146"/>
      <c r="M69" s="146"/>
      <c r="N69" s="146"/>
      <c r="O69" s="146"/>
      <c r="P69" s="146"/>
      <c r="Q69" s="146"/>
      <c r="R69" s="146"/>
      <c r="S69" s="146"/>
      <c r="T69" s="146"/>
      <c r="U69" s="146"/>
      <c r="V69" s="146"/>
      <c r="W69" s="146"/>
      <c r="X69" s="146"/>
      <c r="Y69" s="146"/>
      <c r="Z69" s="146"/>
      <c r="AA69" s="146">
        <f t="shared" si="5"/>
        <v>0</v>
      </c>
      <c r="AB69" s="148"/>
      <c r="AC69" s="146"/>
      <c r="AD69" s="137"/>
      <c r="AE69" s="145"/>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8"/>
      <c r="BB69" s="146"/>
    </row>
    <row r="70" spans="1:54" s="19" customFormat="1" ht="15" hidden="1" customHeight="1" outlineLevel="1">
      <c r="A70" s="142" t="s">
        <v>30</v>
      </c>
      <c r="B70" s="143" t="s">
        <v>521</v>
      </c>
      <c r="C70" s="144"/>
      <c r="D70" s="144"/>
      <c r="E70" s="136">
        <f t="shared" si="1"/>
        <v>0</v>
      </c>
      <c r="F70" s="145"/>
      <c r="G70" s="146"/>
      <c r="H70" s="146"/>
      <c r="I70" s="146"/>
      <c r="J70" s="146"/>
      <c r="K70" s="146"/>
      <c r="L70" s="146"/>
      <c r="M70" s="146"/>
      <c r="N70" s="146"/>
      <c r="O70" s="146"/>
      <c r="P70" s="146"/>
      <c r="Q70" s="146"/>
      <c r="R70" s="146"/>
      <c r="S70" s="146"/>
      <c r="T70" s="146"/>
      <c r="U70" s="146"/>
      <c r="V70" s="146"/>
      <c r="W70" s="146"/>
      <c r="X70" s="146"/>
      <c r="Y70" s="146"/>
      <c r="Z70" s="146"/>
      <c r="AA70" s="146">
        <f t="shared" si="5"/>
        <v>0</v>
      </c>
      <c r="AB70" s="148"/>
      <c r="AC70" s="146"/>
      <c r="AD70" s="137"/>
      <c r="AE70" s="145"/>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8"/>
      <c r="BB70" s="146"/>
    </row>
    <row r="71" spans="1:54" s="19" customFormat="1" ht="25.5" hidden="1" customHeight="1" outlineLevel="1">
      <c r="A71" s="142" t="s">
        <v>30</v>
      </c>
      <c r="B71" s="143" t="s">
        <v>522</v>
      </c>
      <c r="C71" s="144"/>
      <c r="D71" s="144"/>
      <c r="E71" s="136">
        <f t="shared" si="1"/>
        <v>0</v>
      </c>
      <c r="F71" s="145"/>
      <c r="G71" s="146"/>
      <c r="H71" s="146"/>
      <c r="I71" s="146"/>
      <c r="J71" s="146"/>
      <c r="K71" s="146"/>
      <c r="L71" s="146"/>
      <c r="M71" s="146"/>
      <c r="N71" s="146"/>
      <c r="O71" s="146"/>
      <c r="P71" s="146"/>
      <c r="Q71" s="146"/>
      <c r="R71" s="146"/>
      <c r="S71" s="146"/>
      <c r="T71" s="146"/>
      <c r="U71" s="146"/>
      <c r="V71" s="146"/>
      <c r="W71" s="146"/>
      <c r="X71" s="146"/>
      <c r="Y71" s="146"/>
      <c r="Z71" s="146"/>
      <c r="AA71" s="146">
        <f t="shared" si="5"/>
        <v>0</v>
      </c>
      <c r="AB71" s="148"/>
      <c r="AC71" s="146"/>
      <c r="AD71" s="137"/>
      <c r="AE71" s="145"/>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8"/>
      <c r="BB71" s="146"/>
    </row>
    <row r="72" spans="1:54" s="19" customFormat="1" ht="25.5" hidden="1" customHeight="1" outlineLevel="1">
      <c r="A72" s="142" t="s">
        <v>30</v>
      </c>
      <c r="B72" s="143" t="s">
        <v>523</v>
      </c>
      <c r="C72" s="144"/>
      <c r="D72" s="144"/>
      <c r="E72" s="136">
        <f t="shared" si="1"/>
        <v>0</v>
      </c>
      <c r="F72" s="145"/>
      <c r="G72" s="146"/>
      <c r="H72" s="146"/>
      <c r="I72" s="146"/>
      <c r="J72" s="146"/>
      <c r="K72" s="146"/>
      <c r="L72" s="146"/>
      <c r="M72" s="146"/>
      <c r="N72" s="146"/>
      <c r="O72" s="146"/>
      <c r="P72" s="146"/>
      <c r="Q72" s="146"/>
      <c r="R72" s="146"/>
      <c r="S72" s="146"/>
      <c r="T72" s="146"/>
      <c r="U72" s="146"/>
      <c r="V72" s="146"/>
      <c r="W72" s="146"/>
      <c r="X72" s="146"/>
      <c r="Y72" s="146"/>
      <c r="Z72" s="146"/>
      <c r="AA72" s="146">
        <f t="shared" si="5"/>
        <v>0</v>
      </c>
      <c r="AB72" s="148"/>
      <c r="AC72" s="146"/>
      <c r="AD72" s="137"/>
      <c r="AE72" s="145"/>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8"/>
      <c r="BB72" s="146"/>
    </row>
    <row r="73" spans="1:54" s="19" customFormat="1" ht="25.5" hidden="1" customHeight="1" outlineLevel="1">
      <c r="A73" s="142" t="s">
        <v>30</v>
      </c>
      <c r="B73" s="143" t="s">
        <v>524</v>
      </c>
      <c r="C73" s="144"/>
      <c r="D73" s="144"/>
      <c r="E73" s="136">
        <f t="shared" si="1"/>
        <v>0</v>
      </c>
      <c r="F73" s="145"/>
      <c r="G73" s="146"/>
      <c r="H73" s="146"/>
      <c r="I73" s="146"/>
      <c r="J73" s="146"/>
      <c r="K73" s="146"/>
      <c r="L73" s="146"/>
      <c r="M73" s="146"/>
      <c r="N73" s="146"/>
      <c r="O73" s="146"/>
      <c r="P73" s="146"/>
      <c r="Q73" s="146"/>
      <c r="R73" s="146"/>
      <c r="S73" s="146"/>
      <c r="T73" s="146"/>
      <c r="U73" s="146"/>
      <c r="V73" s="146"/>
      <c r="W73" s="146"/>
      <c r="X73" s="146"/>
      <c r="Y73" s="146"/>
      <c r="Z73" s="146"/>
      <c r="AA73" s="146">
        <f t="shared" si="5"/>
        <v>0</v>
      </c>
      <c r="AB73" s="148"/>
      <c r="AC73" s="146"/>
      <c r="AD73" s="137"/>
      <c r="AE73" s="145"/>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8"/>
      <c r="BB73" s="146"/>
    </row>
    <row r="74" spans="1:54" s="19" customFormat="1" ht="15" hidden="1" customHeight="1" outlineLevel="1">
      <c r="A74" s="142" t="s">
        <v>30</v>
      </c>
      <c r="B74" s="143" t="s">
        <v>525</v>
      </c>
      <c r="C74" s="144"/>
      <c r="D74" s="144"/>
      <c r="E74" s="136">
        <f t="shared" si="1"/>
        <v>0</v>
      </c>
      <c r="F74" s="145"/>
      <c r="G74" s="146"/>
      <c r="H74" s="146"/>
      <c r="I74" s="146"/>
      <c r="J74" s="146"/>
      <c r="K74" s="146"/>
      <c r="L74" s="146"/>
      <c r="M74" s="146"/>
      <c r="N74" s="146"/>
      <c r="O74" s="146"/>
      <c r="P74" s="146"/>
      <c r="Q74" s="146"/>
      <c r="R74" s="146"/>
      <c r="S74" s="146"/>
      <c r="T74" s="146"/>
      <c r="U74" s="146"/>
      <c r="V74" s="146"/>
      <c r="W74" s="146"/>
      <c r="X74" s="146"/>
      <c r="Y74" s="146"/>
      <c r="Z74" s="146"/>
      <c r="AA74" s="146">
        <f t="shared" si="5"/>
        <v>0</v>
      </c>
      <c r="AB74" s="148"/>
      <c r="AC74" s="146"/>
      <c r="AD74" s="137"/>
      <c r="AE74" s="145"/>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8"/>
      <c r="BB74" s="146"/>
    </row>
    <row r="75" spans="1:54" s="19" customFormat="1" ht="25.5" hidden="1" customHeight="1" outlineLevel="1">
      <c r="A75" s="142" t="s">
        <v>30</v>
      </c>
      <c r="B75" s="143" t="s">
        <v>526</v>
      </c>
      <c r="C75" s="144"/>
      <c r="D75" s="144"/>
      <c r="E75" s="136">
        <f t="shared" si="1"/>
        <v>0</v>
      </c>
      <c r="F75" s="145"/>
      <c r="G75" s="146"/>
      <c r="H75" s="146"/>
      <c r="I75" s="146"/>
      <c r="J75" s="146"/>
      <c r="K75" s="146"/>
      <c r="L75" s="146"/>
      <c r="M75" s="146"/>
      <c r="N75" s="146"/>
      <c r="O75" s="146"/>
      <c r="P75" s="146"/>
      <c r="Q75" s="146"/>
      <c r="R75" s="146"/>
      <c r="S75" s="146"/>
      <c r="T75" s="146"/>
      <c r="U75" s="146"/>
      <c r="V75" s="146"/>
      <c r="W75" s="146"/>
      <c r="X75" s="146"/>
      <c r="Y75" s="146"/>
      <c r="Z75" s="146"/>
      <c r="AA75" s="146">
        <f t="shared" si="5"/>
        <v>0</v>
      </c>
      <c r="AB75" s="148"/>
      <c r="AC75" s="146"/>
      <c r="AD75" s="137"/>
      <c r="AE75" s="145"/>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8"/>
      <c r="BB75" s="146"/>
    </row>
    <row r="76" spans="1:54" s="19" customFormat="1" ht="15" hidden="1" customHeight="1" outlineLevel="1">
      <c r="A76" s="142" t="s">
        <v>30</v>
      </c>
      <c r="B76" s="143" t="s">
        <v>527</v>
      </c>
      <c r="C76" s="144"/>
      <c r="D76" s="144"/>
      <c r="E76" s="136">
        <f t="shared" si="1"/>
        <v>0</v>
      </c>
      <c r="F76" s="145"/>
      <c r="G76" s="146"/>
      <c r="H76" s="146"/>
      <c r="I76" s="146"/>
      <c r="J76" s="146"/>
      <c r="K76" s="146"/>
      <c r="L76" s="146"/>
      <c r="M76" s="146"/>
      <c r="N76" s="146"/>
      <c r="O76" s="146"/>
      <c r="P76" s="146"/>
      <c r="Q76" s="146"/>
      <c r="R76" s="146"/>
      <c r="S76" s="146"/>
      <c r="T76" s="146"/>
      <c r="U76" s="146"/>
      <c r="V76" s="146"/>
      <c r="W76" s="146"/>
      <c r="X76" s="146"/>
      <c r="Y76" s="146"/>
      <c r="Z76" s="146"/>
      <c r="AA76" s="146">
        <f t="shared" si="5"/>
        <v>0</v>
      </c>
      <c r="AB76" s="152"/>
      <c r="AC76" s="146"/>
      <c r="AD76" s="137"/>
      <c r="AE76" s="145"/>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52"/>
      <c r="BB76" s="146"/>
    </row>
    <row r="77" spans="1:54" s="19" customFormat="1" ht="15" hidden="1" customHeight="1" outlineLevel="1">
      <c r="A77" s="142" t="s">
        <v>30</v>
      </c>
      <c r="B77" s="143" t="s">
        <v>521</v>
      </c>
      <c r="C77" s="144"/>
      <c r="D77" s="144"/>
      <c r="E77" s="136">
        <f t="shared" si="1"/>
        <v>0</v>
      </c>
      <c r="F77" s="145"/>
      <c r="G77" s="146"/>
      <c r="H77" s="146"/>
      <c r="I77" s="146"/>
      <c r="J77" s="146"/>
      <c r="K77" s="146"/>
      <c r="L77" s="146"/>
      <c r="M77" s="146"/>
      <c r="N77" s="146"/>
      <c r="O77" s="146"/>
      <c r="P77" s="146"/>
      <c r="Q77" s="146"/>
      <c r="R77" s="146"/>
      <c r="S77" s="146"/>
      <c r="T77" s="146"/>
      <c r="U77" s="146"/>
      <c r="V77" s="146"/>
      <c r="W77" s="146"/>
      <c r="X77" s="146"/>
      <c r="Y77" s="146"/>
      <c r="Z77" s="146"/>
      <c r="AA77" s="146">
        <f t="shared" si="5"/>
        <v>0</v>
      </c>
      <c r="AB77" s="152"/>
      <c r="AC77" s="146"/>
      <c r="AD77" s="137"/>
      <c r="AE77" s="145"/>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52"/>
      <c r="BB77" s="146"/>
    </row>
    <row r="78" spans="1:54" s="19" customFormat="1" ht="25.5" hidden="1" customHeight="1" outlineLevel="1">
      <c r="A78" s="142" t="s">
        <v>30</v>
      </c>
      <c r="B78" s="143" t="s">
        <v>522</v>
      </c>
      <c r="C78" s="144"/>
      <c r="D78" s="144"/>
      <c r="E78" s="136">
        <f t="shared" ref="E78:E141" si="16">F78+G78+Y78+Z78+AA78</f>
        <v>0</v>
      </c>
      <c r="F78" s="145"/>
      <c r="G78" s="146"/>
      <c r="H78" s="146"/>
      <c r="I78" s="146"/>
      <c r="J78" s="146"/>
      <c r="K78" s="146"/>
      <c r="L78" s="146"/>
      <c r="M78" s="146"/>
      <c r="N78" s="146"/>
      <c r="O78" s="146"/>
      <c r="P78" s="146"/>
      <c r="Q78" s="146"/>
      <c r="R78" s="146"/>
      <c r="S78" s="146"/>
      <c r="T78" s="146"/>
      <c r="U78" s="146"/>
      <c r="V78" s="146"/>
      <c r="W78" s="146"/>
      <c r="X78" s="146"/>
      <c r="Y78" s="146"/>
      <c r="Z78" s="146"/>
      <c r="AA78" s="146">
        <f t="shared" si="5"/>
        <v>0</v>
      </c>
      <c r="AB78" s="152"/>
      <c r="AC78" s="146"/>
      <c r="AD78" s="137"/>
      <c r="AE78" s="145"/>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52"/>
      <c r="BB78" s="146"/>
    </row>
    <row r="79" spans="1:54" s="19" customFormat="1" ht="25.5" hidden="1" customHeight="1" outlineLevel="1">
      <c r="A79" s="142" t="s">
        <v>30</v>
      </c>
      <c r="B79" s="143" t="s">
        <v>523</v>
      </c>
      <c r="C79" s="144"/>
      <c r="D79" s="144"/>
      <c r="E79" s="136">
        <f t="shared" si="16"/>
        <v>0</v>
      </c>
      <c r="F79" s="145"/>
      <c r="G79" s="146"/>
      <c r="H79" s="146"/>
      <c r="I79" s="146"/>
      <c r="J79" s="146"/>
      <c r="K79" s="146"/>
      <c r="L79" s="146"/>
      <c r="M79" s="146"/>
      <c r="N79" s="146"/>
      <c r="O79" s="146"/>
      <c r="P79" s="146"/>
      <c r="Q79" s="146"/>
      <c r="R79" s="146"/>
      <c r="S79" s="146"/>
      <c r="T79" s="146"/>
      <c r="U79" s="146"/>
      <c r="V79" s="146"/>
      <c r="W79" s="146"/>
      <c r="X79" s="146"/>
      <c r="Y79" s="146"/>
      <c r="Z79" s="146"/>
      <c r="AA79" s="146">
        <f t="shared" si="5"/>
        <v>0</v>
      </c>
      <c r="AB79" s="152"/>
      <c r="AC79" s="146"/>
      <c r="AD79" s="137"/>
      <c r="AE79" s="145"/>
      <c r="AF79" s="146"/>
      <c r="AG79" s="146"/>
      <c r="AH79" s="146"/>
      <c r="AI79" s="146"/>
      <c r="AJ79" s="146"/>
      <c r="AK79" s="146"/>
      <c r="AL79" s="146"/>
      <c r="AM79" s="146"/>
      <c r="AN79" s="146"/>
      <c r="AO79" s="146"/>
      <c r="AP79" s="146"/>
      <c r="AQ79" s="146"/>
      <c r="AR79" s="146"/>
      <c r="AS79" s="146"/>
      <c r="AT79" s="146"/>
      <c r="AU79" s="146"/>
      <c r="AV79" s="146"/>
      <c r="AW79" s="146"/>
      <c r="AX79" s="146"/>
      <c r="AY79" s="146"/>
      <c r="AZ79" s="146"/>
      <c r="BA79" s="152"/>
      <c r="BB79" s="146"/>
    </row>
    <row r="80" spans="1:54" s="19" customFormat="1" ht="25.5" hidden="1" customHeight="1" outlineLevel="1">
      <c r="A80" s="142" t="s">
        <v>30</v>
      </c>
      <c r="B80" s="143" t="s">
        <v>524</v>
      </c>
      <c r="C80" s="144"/>
      <c r="D80" s="144"/>
      <c r="E80" s="136">
        <f t="shared" si="16"/>
        <v>0</v>
      </c>
      <c r="F80" s="145"/>
      <c r="G80" s="146"/>
      <c r="H80" s="146"/>
      <c r="I80" s="146"/>
      <c r="J80" s="146"/>
      <c r="K80" s="146"/>
      <c r="L80" s="146"/>
      <c r="M80" s="146"/>
      <c r="N80" s="146"/>
      <c r="O80" s="146"/>
      <c r="P80" s="146"/>
      <c r="Q80" s="146"/>
      <c r="R80" s="146"/>
      <c r="S80" s="146"/>
      <c r="T80" s="146"/>
      <c r="U80" s="146"/>
      <c r="V80" s="146"/>
      <c r="W80" s="146"/>
      <c r="X80" s="146"/>
      <c r="Y80" s="146"/>
      <c r="Z80" s="146"/>
      <c r="AA80" s="146">
        <f t="shared" si="5"/>
        <v>0</v>
      </c>
      <c r="AB80" s="152"/>
      <c r="AC80" s="146"/>
      <c r="AD80" s="137"/>
      <c r="AE80" s="145"/>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52"/>
      <c r="BB80" s="146"/>
    </row>
    <row r="81" spans="1:54" s="19" customFormat="1" ht="15" hidden="1" customHeight="1" outlineLevel="1">
      <c r="A81" s="142" t="s">
        <v>30</v>
      </c>
      <c r="B81" s="143" t="s">
        <v>525</v>
      </c>
      <c r="C81" s="144"/>
      <c r="D81" s="144"/>
      <c r="E81" s="136">
        <f t="shared" si="16"/>
        <v>0</v>
      </c>
      <c r="F81" s="145"/>
      <c r="G81" s="146"/>
      <c r="H81" s="146"/>
      <c r="I81" s="146"/>
      <c r="J81" s="146"/>
      <c r="K81" s="146"/>
      <c r="L81" s="146"/>
      <c r="M81" s="146"/>
      <c r="N81" s="146"/>
      <c r="O81" s="146"/>
      <c r="P81" s="146"/>
      <c r="Q81" s="146"/>
      <c r="R81" s="146"/>
      <c r="S81" s="146"/>
      <c r="T81" s="146"/>
      <c r="U81" s="146"/>
      <c r="V81" s="146"/>
      <c r="W81" s="146"/>
      <c r="X81" s="146"/>
      <c r="Y81" s="146"/>
      <c r="Z81" s="146"/>
      <c r="AA81" s="146">
        <f t="shared" si="5"/>
        <v>0</v>
      </c>
      <c r="AB81" s="152"/>
      <c r="AC81" s="146"/>
      <c r="AD81" s="137"/>
      <c r="AE81" s="145"/>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52"/>
      <c r="BB81" s="146"/>
    </row>
    <row r="82" spans="1:54" s="19" customFormat="1" ht="25.5" hidden="1" customHeight="1" outlineLevel="1">
      <c r="A82" s="142" t="s">
        <v>30</v>
      </c>
      <c r="B82" s="143" t="s">
        <v>528</v>
      </c>
      <c r="C82" s="144"/>
      <c r="D82" s="144"/>
      <c r="E82" s="136">
        <f t="shared" si="16"/>
        <v>0</v>
      </c>
      <c r="F82" s="145"/>
      <c r="G82" s="146"/>
      <c r="H82" s="146"/>
      <c r="I82" s="146"/>
      <c r="J82" s="146"/>
      <c r="K82" s="146"/>
      <c r="L82" s="146"/>
      <c r="M82" s="146"/>
      <c r="N82" s="146"/>
      <c r="O82" s="146"/>
      <c r="P82" s="146"/>
      <c r="Q82" s="146"/>
      <c r="R82" s="146"/>
      <c r="S82" s="146"/>
      <c r="T82" s="146"/>
      <c r="U82" s="146"/>
      <c r="V82" s="146"/>
      <c r="W82" s="146"/>
      <c r="X82" s="146"/>
      <c r="Y82" s="146"/>
      <c r="Z82" s="146"/>
      <c r="AA82" s="146">
        <f t="shared" ref="AA82:AA145" si="17">AB82+AC82</f>
        <v>0</v>
      </c>
      <c r="AB82" s="152"/>
      <c r="AC82" s="146"/>
      <c r="AD82" s="137"/>
      <c r="AE82" s="145"/>
      <c r="AF82" s="146"/>
      <c r="AG82" s="146"/>
      <c r="AH82" s="146"/>
      <c r="AI82" s="146"/>
      <c r="AJ82" s="146"/>
      <c r="AK82" s="146"/>
      <c r="AL82" s="146"/>
      <c r="AM82" s="146"/>
      <c r="AN82" s="146"/>
      <c r="AO82" s="146"/>
      <c r="AP82" s="146"/>
      <c r="AQ82" s="146"/>
      <c r="AR82" s="146"/>
      <c r="AS82" s="146"/>
      <c r="AT82" s="146"/>
      <c r="AU82" s="146"/>
      <c r="AV82" s="146"/>
      <c r="AW82" s="146"/>
      <c r="AX82" s="146"/>
      <c r="AY82" s="146"/>
      <c r="AZ82" s="146"/>
      <c r="BA82" s="152"/>
      <c r="BB82" s="146"/>
    </row>
    <row r="83" spans="1:54" s="19" customFormat="1" ht="15" collapsed="1">
      <c r="A83" s="142">
        <v>15</v>
      </c>
      <c r="B83" s="143" t="s">
        <v>309</v>
      </c>
      <c r="C83" s="144"/>
      <c r="D83" s="144"/>
      <c r="E83" s="136">
        <f t="shared" si="16"/>
        <v>0</v>
      </c>
      <c r="F83" s="145">
        <f>SUBTOTAL(9,F84:F84)</f>
        <v>0</v>
      </c>
      <c r="G83" s="146"/>
      <c r="H83" s="146"/>
      <c r="I83" s="146"/>
      <c r="J83" s="146"/>
      <c r="K83" s="146"/>
      <c r="L83" s="146"/>
      <c r="M83" s="146"/>
      <c r="N83" s="146"/>
      <c r="O83" s="146"/>
      <c r="P83" s="146"/>
      <c r="Q83" s="146"/>
      <c r="R83" s="146"/>
      <c r="S83" s="146"/>
      <c r="T83" s="146"/>
      <c r="U83" s="146"/>
      <c r="V83" s="146"/>
      <c r="W83" s="146"/>
      <c r="X83" s="146"/>
      <c r="Y83" s="146"/>
      <c r="Z83" s="146"/>
      <c r="AA83" s="146">
        <f t="shared" si="17"/>
        <v>0</v>
      </c>
      <c r="AB83" s="147"/>
      <c r="AC83" s="146"/>
      <c r="AD83" s="137"/>
      <c r="AE83" s="145"/>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7"/>
      <c r="BB83" s="146"/>
    </row>
    <row r="84" spans="1:54" s="19" customFormat="1" ht="25.5" hidden="1" outlineLevel="1">
      <c r="A84" s="142" t="s">
        <v>30</v>
      </c>
      <c r="B84" s="143" t="s">
        <v>529</v>
      </c>
      <c r="C84" s="144"/>
      <c r="D84" s="144"/>
      <c r="E84" s="136">
        <f t="shared" si="16"/>
        <v>0</v>
      </c>
      <c r="F84" s="145"/>
      <c r="G84" s="146"/>
      <c r="H84" s="146"/>
      <c r="I84" s="146"/>
      <c r="J84" s="146"/>
      <c r="K84" s="146"/>
      <c r="L84" s="146"/>
      <c r="M84" s="146"/>
      <c r="N84" s="146"/>
      <c r="O84" s="146"/>
      <c r="P84" s="146"/>
      <c r="Q84" s="146"/>
      <c r="R84" s="146"/>
      <c r="S84" s="146"/>
      <c r="T84" s="146"/>
      <c r="U84" s="146"/>
      <c r="V84" s="146"/>
      <c r="W84" s="146"/>
      <c r="X84" s="146"/>
      <c r="Y84" s="146"/>
      <c r="Z84" s="146"/>
      <c r="AA84" s="146">
        <f t="shared" si="17"/>
        <v>0</v>
      </c>
      <c r="AB84" s="152"/>
      <c r="AC84" s="146"/>
      <c r="AD84" s="137"/>
      <c r="AE84" s="145"/>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52"/>
      <c r="BB84" s="146"/>
    </row>
    <row r="85" spans="1:54" s="19" customFormat="1" ht="15" collapsed="1">
      <c r="A85" s="142">
        <v>16</v>
      </c>
      <c r="B85" s="143" t="s">
        <v>530</v>
      </c>
      <c r="C85" s="144"/>
      <c r="D85" s="144"/>
      <c r="E85" s="136">
        <f t="shared" si="16"/>
        <v>0</v>
      </c>
      <c r="F85" s="145">
        <f t="shared" ref="F85" si="18">SUBTOTAL(9,F86:F94)</f>
        <v>0</v>
      </c>
      <c r="G85" s="146"/>
      <c r="H85" s="146"/>
      <c r="I85" s="146"/>
      <c r="J85" s="146"/>
      <c r="K85" s="146"/>
      <c r="L85" s="146"/>
      <c r="M85" s="146"/>
      <c r="N85" s="146"/>
      <c r="O85" s="146"/>
      <c r="P85" s="146"/>
      <c r="Q85" s="146"/>
      <c r="R85" s="146"/>
      <c r="S85" s="146"/>
      <c r="T85" s="146"/>
      <c r="U85" s="146"/>
      <c r="V85" s="146"/>
      <c r="W85" s="146"/>
      <c r="X85" s="146"/>
      <c r="Y85" s="146"/>
      <c r="Z85" s="146"/>
      <c r="AA85" s="146">
        <f t="shared" si="17"/>
        <v>0</v>
      </c>
      <c r="AB85" s="147"/>
      <c r="AC85" s="146"/>
      <c r="AD85" s="137"/>
      <c r="AE85" s="145"/>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7"/>
      <c r="BB85" s="146"/>
    </row>
    <row r="86" spans="1:54" s="19" customFormat="1" ht="15" hidden="1" outlineLevel="1">
      <c r="A86" s="52" t="s">
        <v>30</v>
      </c>
      <c r="B86" s="53" t="s">
        <v>519</v>
      </c>
      <c r="C86" s="51"/>
      <c r="D86" s="51"/>
      <c r="E86" s="47">
        <f t="shared" si="16"/>
        <v>0</v>
      </c>
      <c r="F86" s="15"/>
      <c r="G86" s="56"/>
      <c r="H86" s="56"/>
      <c r="I86" s="56"/>
      <c r="J86" s="56"/>
      <c r="K86" s="56"/>
      <c r="L86" s="56"/>
      <c r="M86" s="56"/>
      <c r="N86" s="56"/>
      <c r="O86" s="56"/>
      <c r="P86" s="56"/>
      <c r="Q86" s="56"/>
      <c r="R86" s="56"/>
      <c r="S86" s="56"/>
      <c r="T86" s="56"/>
      <c r="U86" s="56"/>
      <c r="V86" s="56"/>
      <c r="W86" s="56"/>
      <c r="X86" s="56"/>
      <c r="Y86" s="56"/>
      <c r="Z86" s="56"/>
      <c r="AA86" s="56">
        <f t="shared" si="17"/>
        <v>0</v>
      </c>
      <c r="AB86" s="16"/>
      <c r="AC86" s="56"/>
      <c r="AD86" s="48"/>
      <c r="AE86" s="15"/>
      <c r="AF86" s="56"/>
      <c r="AG86" s="56"/>
      <c r="AH86" s="56"/>
      <c r="AI86" s="56"/>
      <c r="AJ86" s="56"/>
      <c r="AK86" s="56"/>
      <c r="AL86" s="56"/>
      <c r="AM86" s="56"/>
      <c r="AN86" s="56"/>
      <c r="AO86" s="56"/>
      <c r="AP86" s="56"/>
      <c r="AQ86" s="56"/>
      <c r="AR86" s="56"/>
      <c r="AS86" s="56"/>
      <c r="AT86" s="56"/>
      <c r="AU86" s="56"/>
      <c r="AV86" s="56"/>
      <c r="AW86" s="56"/>
      <c r="AX86" s="56"/>
      <c r="AY86" s="56"/>
      <c r="AZ86" s="56"/>
      <c r="BA86" s="16"/>
      <c r="BB86" s="56"/>
    </row>
    <row r="87" spans="1:54" s="19" customFormat="1" ht="15" hidden="1" outlineLevel="1">
      <c r="A87" s="52" t="s">
        <v>30</v>
      </c>
      <c r="B87" s="53" t="s">
        <v>521</v>
      </c>
      <c r="C87" s="51"/>
      <c r="D87" s="51"/>
      <c r="E87" s="47">
        <f t="shared" si="16"/>
        <v>0</v>
      </c>
      <c r="F87" s="15"/>
      <c r="G87" s="56"/>
      <c r="H87" s="56"/>
      <c r="I87" s="56"/>
      <c r="J87" s="56"/>
      <c r="K87" s="56"/>
      <c r="L87" s="56"/>
      <c r="M87" s="56"/>
      <c r="N87" s="56"/>
      <c r="O87" s="56"/>
      <c r="P87" s="56"/>
      <c r="Q87" s="56"/>
      <c r="R87" s="56"/>
      <c r="S87" s="56"/>
      <c r="T87" s="56"/>
      <c r="U87" s="56"/>
      <c r="V87" s="56"/>
      <c r="W87" s="56"/>
      <c r="X87" s="56"/>
      <c r="Y87" s="56"/>
      <c r="Z87" s="56"/>
      <c r="AA87" s="56">
        <f t="shared" si="17"/>
        <v>0</v>
      </c>
      <c r="AB87" s="16"/>
      <c r="AC87" s="56"/>
      <c r="AD87" s="48"/>
      <c r="AE87" s="15"/>
      <c r="AF87" s="56"/>
      <c r="AG87" s="56"/>
      <c r="AH87" s="56"/>
      <c r="AI87" s="56"/>
      <c r="AJ87" s="56"/>
      <c r="AK87" s="56"/>
      <c r="AL87" s="56"/>
      <c r="AM87" s="56"/>
      <c r="AN87" s="56"/>
      <c r="AO87" s="56"/>
      <c r="AP87" s="56"/>
      <c r="AQ87" s="56"/>
      <c r="AR87" s="56"/>
      <c r="AS87" s="56"/>
      <c r="AT87" s="56"/>
      <c r="AU87" s="56"/>
      <c r="AV87" s="56"/>
      <c r="AW87" s="56"/>
      <c r="AX87" s="56"/>
      <c r="AY87" s="56"/>
      <c r="AZ87" s="56"/>
      <c r="BA87" s="16"/>
      <c r="BB87" s="56"/>
    </row>
    <row r="88" spans="1:54" s="19" customFormat="1" ht="25.5" hidden="1" outlineLevel="1">
      <c r="A88" s="52" t="s">
        <v>30</v>
      </c>
      <c r="B88" s="53" t="s">
        <v>522</v>
      </c>
      <c r="C88" s="51"/>
      <c r="D88" s="51"/>
      <c r="E88" s="47">
        <f t="shared" si="16"/>
        <v>0</v>
      </c>
      <c r="F88" s="15"/>
      <c r="G88" s="56"/>
      <c r="H88" s="56"/>
      <c r="I88" s="56"/>
      <c r="J88" s="56"/>
      <c r="K88" s="56"/>
      <c r="L88" s="56"/>
      <c r="M88" s="56"/>
      <c r="N88" s="56"/>
      <c r="O88" s="56"/>
      <c r="P88" s="56"/>
      <c r="Q88" s="56"/>
      <c r="R88" s="56"/>
      <c r="S88" s="56"/>
      <c r="T88" s="56"/>
      <c r="U88" s="56"/>
      <c r="V88" s="56"/>
      <c r="W88" s="56"/>
      <c r="X88" s="56"/>
      <c r="Y88" s="56"/>
      <c r="Z88" s="56"/>
      <c r="AA88" s="56">
        <f t="shared" si="17"/>
        <v>0</v>
      </c>
      <c r="AB88" s="16"/>
      <c r="AC88" s="56"/>
      <c r="AD88" s="48"/>
      <c r="AE88" s="15"/>
      <c r="AF88" s="56"/>
      <c r="AG88" s="56"/>
      <c r="AH88" s="56"/>
      <c r="AI88" s="56"/>
      <c r="AJ88" s="56"/>
      <c r="AK88" s="56"/>
      <c r="AL88" s="56"/>
      <c r="AM88" s="56"/>
      <c r="AN88" s="56"/>
      <c r="AO88" s="56"/>
      <c r="AP88" s="56"/>
      <c r="AQ88" s="56"/>
      <c r="AR88" s="56"/>
      <c r="AS88" s="56"/>
      <c r="AT88" s="56"/>
      <c r="AU88" s="56"/>
      <c r="AV88" s="56"/>
      <c r="AW88" s="56"/>
      <c r="AX88" s="56"/>
      <c r="AY88" s="56"/>
      <c r="AZ88" s="56"/>
      <c r="BA88" s="16"/>
      <c r="BB88" s="56"/>
    </row>
    <row r="89" spans="1:54" s="19" customFormat="1" ht="25.5" hidden="1" outlineLevel="1">
      <c r="A89" s="52" t="s">
        <v>30</v>
      </c>
      <c r="B89" s="53" t="s">
        <v>523</v>
      </c>
      <c r="C89" s="51"/>
      <c r="D89" s="51"/>
      <c r="E89" s="47">
        <f t="shared" si="16"/>
        <v>0</v>
      </c>
      <c r="F89" s="15"/>
      <c r="G89" s="56"/>
      <c r="H89" s="56"/>
      <c r="I89" s="56"/>
      <c r="J89" s="56"/>
      <c r="K89" s="56"/>
      <c r="L89" s="56"/>
      <c r="M89" s="56"/>
      <c r="N89" s="56"/>
      <c r="O89" s="56"/>
      <c r="P89" s="56"/>
      <c r="Q89" s="56"/>
      <c r="R89" s="56"/>
      <c r="S89" s="56"/>
      <c r="T89" s="56"/>
      <c r="U89" s="56"/>
      <c r="V89" s="56"/>
      <c r="W89" s="56"/>
      <c r="X89" s="56"/>
      <c r="Y89" s="56"/>
      <c r="Z89" s="56"/>
      <c r="AA89" s="56">
        <f t="shared" si="17"/>
        <v>0</v>
      </c>
      <c r="AB89" s="16"/>
      <c r="AC89" s="56"/>
      <c r="AD89" s="48"/>
      <c r="AE89" s="15"/>
      <c r="AF89" s="56"/>
      <c r="AG89" s="56"/>
      <c r="AH89" s="56"/>
      <c r="AI89" s="56"/>
      <c r="AJ89" s="56"/>
      <c r="AK89" s="56"/>
      <c r="AL89" s="56"/>
      <c r="AM89" s="56"/>
      <c r="AN89" s="56"/>
      <c r="AO89" s="56"/>
      <c r="AP89" s="56"/>
      <c r="AQ89" s="56"/>
      <c r="AR89" s="56"/>
      <c r="AS89" s="56"/>
      <c r="AT89" s="56"/>
      <c r="AU89" s="56"/>
      <c r="AV89" s="56"/>
      <c r="AW89" s="56"/>
      <c r="AX89" s="56"/>
      <c r="AY89" s="56"/>
      <c r="AZ89" s="56"/>
      <c r="BA89" s="16"/>
      <c r="BB89" s="56"/>
    </row>
    <row r="90" spans="1:54" s="19" customFormat="1" ht="25.5" hidden="1" outlineLevel="1">
      <c r="A90" s="52" t="s">
        <v>30</v>
      </c>
      <c r="B90" s="53" t="s">
        <v>524</v>
      </c>
      <c r="C90" s="51"/>
      <c r="D90" s="51"/>
      <c r="E90" s="47">
        <f t="shared" si="16"/>
        <v>0</v>
      </c>
      <c r="F90" s="15"/>
      <c r="G90" s="56"/>
      <c r="H90" s="56"/>
      <c r="I90" s="56"/>
      <c r="J90" s="56"/>
      <c r="K90" s="56"/>
      <c r="L90" s="56"/>
      <c r="M90" s="56"/>
      <c r="N90" s="56"/>
      <c r="O90" s="56"/>
      <c r="P90" s="56"/>
      <c r="Q90" s="56"/>
      <c r="R90" s="56"/>
      <c r="S90" s="56"/>
      <c r="T90" s="56"/>
      <c r="U90" s="56"/>
      <c r="V90" s="56"/>
      <c r="W90" s="56"/>
      <c r="X90" s="56"/>
      <c r="Y90" s="56"/>
      <c r="Z90" s="56"/>
      <c r="AA90" s="56">
        <f t="shared" si="17"/>
        <v>0</v>
      </c>
      <c r="AB90" s="16"/>
      <c r="AC90" s="56"/>
      <c r="AD90" s="48"/>
      <c r="AE90" s="15"/>
      <c r="AF90" s="56"/>
      <c r="AG90" s="56"/>
      <c r="AH90" s="56"/>
      <c r="AI90" s="56"/>
      <c r="AJ90" s="56"/>
      <c r="AK90" s="56"/>
      <c r="AL90" s="56"/>
      <c r="AM90" s="56"/>
      <c r="AN90" s="56"/>
      <c r="AO90" s="56"/>
      <c r="AP90" s="56"/>
      <c r="AQ90" s="56"/>
      <c r="AR90" s="56"/>
      <c r="AS90" s="56"/>
      <c r="AT90" s="56"/>
      <c r="AU90" s="56"/>
      <c r="AV90" s="56"/>
      <c r="AW90" s="56"/>
      <c r="AX90" s="56"/>
      <c r="AY90" s="56"/>
      <c r="AZ90" s="56"/>
      <c r="BA90" s="16"/>
      <c r="BB90" s="56"/>
    </row>
    <row r="91" spans="1:54" s="19" customFormat="1" ht="15" hidden="1" outlineLevel="1">
      <c r="A91" s="52" t="s">
        <v>30</v>
      </c>
      <c r="B91" s="53" t="s">
        <v>525</v>
      </c>
      <c r="C91" s="51"/>
      <c r="D91" s="51"/>
      <c r="E91" s="47">
        <f t="shared" si="16"/>
        <v>0</v>
      </c>
      <c r="F91" s="15"/>
      <c r="G91" s="56"/>
      <c r="H91" s="56"/>
      <c r="I91" s="56"/>
      <c r="J91" s="56"/>
      <c r="K91" s="56"/>
      <c r="L91" s="56"/>
      <c r="M91" s="56"/>
      <c r="N91" s="56"/>
      <c r="O91" s="56"/>
      <c r="P91" s="56"/>
      <c r="Q91" s="56"/>
      <c r="R91" s="56"/>
      <c r="S91" s="56"/>
      <c r="T91" s="56"/>
      <c r="U91" s="56"/>
      <c r="V91" s="56"/>
      <c r="W91" s="56"/>
      <c r="X91" s="56"/>
      <c r="Y91" s="56"/>
      <c r="Z91" s="56"/>
      <c r="AA91" s="56">
        <f t="shared" si="17"/>
        <v>0</v>
      </c>
      <c r="AB91" s="16"/>
      <c r="AC91" s="56"/>
      <c r="AD91" s="48"/>
      <c r="AE91" s="15"/>
      <c r="AF91" s="56"/>
      <c r="AG91" s="56"/>
      <c r="AH91" s="56"/>
      <c r="AI91" s="56"/>
      <c r="AJ91" s="56"/>
      <c r="AK91" s="56"/>
      <c r="AL91" s="56"/>
      <c r="AM91" s="56"/>
      <c r="AN91" s="56"/>
      <c r="AO91" s="56"/>
      <c r="AP91" s="56"/>
      <c r="AQ91" s="56"/>
      <c r="AR91" s="56"/>
      <c r="AS91" s="56"/>
      <c r="AT91" s="56"/>
      <c r="AU91" s="56"/>
      <c r="AV91" s="56"/>
      <c r="AW91" s="56"/>
      <c r="AX91" s="56"/>
      <c r="AY91" s="56"/>
      <c r="AZ91" s="56"/>
      <c r="BA91" s="16"/>
      <c r="BB91" s="56"/>
    </row>
    <row r="92" spans="1:54" s="19" customFormat="1" ht="25.5" hidden="1" outlineLevel="1">
      <c r="A92" s="52" t="s">
        <v>30</v>
      </c>
      <c r="B92" s="53" t="s">
        <v>531</v>
      </c>
      <c r="C92" s="51"/>
      <c r="D92" s="51"/>
      <c r="E92" s="47">
        <f t="shared" si="16"/>
        <v>0</v>
      </c>
      <c r="F92" s="15"/>
      <c r="G92" s="56"/>
      <c r="H92" s="56"/>
      <c r="I92" s="56"/>
      <c r="J92" s="56"/>
      <c r="K92" s="56"/>
      <c r="L92" s="56"/>
      <c r="M92" s="56"/>
      <c r="N92" s="56"/>
      <c r="O92" s="56"/>
      <c r="P92" s="56"/>
      <c r="Q92" s="56"/>
      <c r="R92" s="56"/>
      <c r="S92" s="56"/>
      <c r="T92" s="56"/>
      <c r="U92" s="56"/>
      <c r="V92" s="56"/>
      <c r="W92" s="56"/>
      <c r="X92" s="56"/>
      <c r="Y92" s="56"/>
      <c r="Z92" s="56"/>
      <c r="AA92" s="56">
        <f t="shared" si="17"/>
        <v>0</v>
      </c>
      <c r="AB92" s="16"/>
      <c r="AC92" s="56"/>
      <c r="AD92" s="48"/>
      <c r="AE92" s="15"/>
      <c r="AF92" s="56"/>
      <c r="AG92" s="56"/>
      <c r="AH92" s="56"/>
      <c r="AI92" s="56"/>
      <c r="AJ92" s="56"/>
      <c r="AK92" s="56"/>
      <c r="AL92" s="56"/>
      <c r="AM92" s="56"/>
      <c r="AN92" s="56"/>
      <c r="AO92" s="56"/>
      <c r="AP92" s="56"/>
      <c r="AQ92" s="56"/>
      <c r="AR92" s="56"/>
      <c r="AS92" s="56"/>
      <c r="AT92" s="56"/>
      <c r="AU92" s="56"/>
      <c r="AV92" s="56"/>
      <c r="AW92" s="56"/>
      <c r="AX92" s="56"/>
      <c r="AY92" s="56"/>
      <c r="AZ92" s="56"/>
      <c r="BA92" s="16"/>
      <c r="BB92" s="56"/>
    </row>
    <row r="93" spans="1:54" s="19" customFormat="1" ht="25.5" hidden="1" outlineLevel="1">
      <c r="A93" s="52" t="s">
        <v>30</v>
      </c>
      <c r="B93" s="53" t="s">
        <v>532</v>
      </c>
      <c r="C93" s="51"/>
      <c r="D93" s="51"/>
      <c r="E93" s="47">
        <f t="shared" si="16"/>
        <v>0</v>
      </c>
      <c r="F93" s="15"/>
      <c r="G93" s="56"/>
      <c r="H93" s="56"/>
      <c r="I93" s="56"/>
      <c r="J93" s="56"/>
      <c r="K93" s="56"/>
      <c r="L93" s="56"/>
      <c r="M93" s="56"/>
      <c r="N93" s="56"/>
      <c r="O93" s="56"/>
      <c r="P93" s="56"/>
      <c r="Q93" s="56"/>
      <c r="R93" s="56"/>
      <c r="S93" s="56"/>
      <c r="T93" s="56"/>
      <c r="U93" s="56"/>
      <c r="V93" s="56"/>
      <c r="W93" s="56"/>
      <c r="X93" s="56"/>
      <c r="Y93" s="56"/>
      <c r="Z93" s="56"/>
      <c r="AA93" s="56">
        <f t="shared" si="17"/>
        <v>0</v>
      </c>
      <c r="AB93" s="16"/>
      <c r="AC93" s="56"/>
      <c r="AD93" s="48"/>
      <c r="AE93" s="15"/>
      <c r="AF93" s="56"/>
      <c r="AG93" s="56"/>
      <c r="AH93" s="56"/>
      <c r="AI93" s="56"/>
      <c r="AJ93" s="56"/>
      <c r="AK93" s="56"/>
      <c r="AL93" s="56"/>
      <c r="AM93" s="56"/>
      <c r="AN93" s="56"/>
      <c r="AO93" s="56"/>
      <c r="AP93" s="56"/>
      <c r="AQ93" s="56"/>
      <c r="AR93" s="56"/>
      <c r="AS93" s="56"/>
      <c r="AT93" s="56"/>
      <c r="AU93" s="56"/>
      <c r="AV93" s="56"/>
      <c r="AW93" s="56"/>
      <c r="AX93" s="56"/>
      <c r="AY93" s="56"/>
      <c r="AZ93" s="56"/>
      <c r="BA93" s="16"/>
      <c r="BB93" s="56"/>
    </row>
    <row r="94" spans="1:54" s="19" customFormat="1" ht="25.5" hidden="1" outlineLevel="1">
      <c r="A94" s="52" t="s">
        <v>30</v>
      </c>
      <c r="B94" s="53" t="s">
        <v>533</v>
      </c>
      <c r="C94" s="51"/>
      <c r="D94" s="51"/>
      <c r="E94" s="47">
        <f t="shared" si="16"/>
        <v>0</v>
      </c>
      <c r="F94" s="15"/>
      <c r="G94" s="56"/>
      <c r="H94" s="56"/>
      <c r="I94" s="56"/>
      <c r="J94" s="56"/>
      <c r="K94" s="56"/>
      <c r="L94" s="56"/>
      <c r="M94" s="56"/>
      <c r="N94" s="56"/>
      <c r="O94" s="56"/>
      <c r="P94" s="56"/>
      <c r="Q94" s="56"/>
      <c r="R94" s="56"/>
      <c r="S94" s="56"/>
      <c r="T94" s="56"/>
      <c r="U94" s="56"/>
      <c r="V94" s="56"/>
      <c r="W94" s="56"/>
      <c r="X94" s="56"/>
      <c r="Y94" s="56"/>
      <c r="Z94" s="56"/>
      <c r="AA94" s="56">
        <f t="shared" si="17"/>
        <v>0</v>
      </c>
      <c r="AB94" s="16"/>
      <c r="AC94" s="56"/>
      <c r="AD94" s="48"/>
      <c r="AE94" s="15"/>
      <c r="AF94" s="56"/>
      <c r="AG94" s="56"/>
      <c r="AH94" s="56"/>
      <c r="AI94" s="56"/>
      <c r="AJ94" s="56"/>
      <c r="AK94" s="56"/>
      <c r="AL94" s="56"/>
      <c r="AM94" s="56"/>
      <c r="AN94" s="56"/>
      <c r="AO94" s="56"/>
      <c r="AP94" s="56"/>
      <c r="AQ94" s="56"/>
      <c r="AR94" s="56"/>
      <c r="AS94" s="56"/>
      <c r="AT94" s="56"/>
      <c r="AU94" s="56"/>
      <c r="AV94" s="56"/>
      <c r="AW94" s="56"/>
      <c r="AX94" s="56"/>
      <c r="AY94" s="56"/>
      <c r="AZ94" s="56"/>
      <c r="BA94" s="16"/>
      <c r="BB94" s="56"/>
    </row>
    <row r="95" spans="1:54" s="58" customFormat="1" ht="14.25" collapsed="1">
      <c r="A95" s="49" t="s">
        <v>534</v>
      </c>
      <c r="B95" s="44" t="s">
        <v>44</v>
      </c>
      <c r="C95" s="51"/>
      <c r="D95" s="51">
        <f>D96+D296</f>
        <v>0</v>
      </c>
      <c r="E95" s="47">
        <f t="shared" si="16"/>
        <v>0</v>
      </c>
      <c r="F95" s="57">
        <f t="shared" ref="F95:Z95" si="19">F96+F296</f>
        <v>0</v>
      </c>
      <c r="G95" s="56">
        <f t="shared" si="19"/>
        <v>0</v>
      </c>
      <c r="H95" s="56">
        <f t="shared" si="19"/>
        <v>0</v>
      </c>
      <c r="I95" s="56">
        <f t="shared" si="19"/>
        <v>0</v>
      </c>
      <c r="J95" s="56">
        <f t="shared" si="19"/>
        <v>0</v>
      </c>
      <c r="K95" s="56">
        <f t="shared" si="19"/>
        <v>0</v>
      </c>
      <c r="L95" s="56">
        <f t="shared" si="19"/>
        <v>0</v>
      </c>
      <c r="M95" s="56">
        <f t="shared" si="19"/>
        <v>0</v>
      </c>
      <c r="N95" s="56">
        <f t="shared" si="19"/>
        <v>0</v>
      </c>
      <c r="O95" s="56">
        <f t="shared" si="19"/>
        <v>0</v>
      </c>
      <c r="P95" s="56">
        <f t="shared" si="19"/>
        <v>0</v>
      </c>
      <c r="Q95" s="56">
        <f t="shared" si="19"/>
        <v>0</v>
      </c>
      <c r="R95" s="56">
        <f t="shared" si="19"/>
        <v>0</v>
      </c>
      <c r="S95" s="56">
        <f t="shared" si="19"/>
        <v>0</v>
      </c>
      <c r="T95" s="56">
        <f t="shared" si="19"/>
        <v>0</v>
      </c>
      <c r="U95" s="56">
        <f t="shared" si="19"/>
        <v>0</v>
      </c>
      <c r="V95" s="56">
        <f t="shared" si="19"/>
        <v>0</v>
      </c>
      <c r="W95" s="56">
        <f t="shared" si="19"/>
        <v>0</v>
      </c>
      <c r="X95" s="56">
        <f t="shared" si="19"/>
        <v>0</v>
      </c>
      <c r="Y95" s="56">
        <f t="shared" si="19"/>
        <v>0</v>
      </c>
      <c r="Z95" s="56">
        <f t="shared" si="19"/>
        <v>0</v>
      </c>
      <c r="AA95" s="56">
        <f t="shared" si="17"/>
        <v>0</v>
      </c>
      <c r="AB95" s="57">
        <f>AB96+AB296</f>
        <v>0</v>
      </c>
      <c r="AC95" s="56">
        <f>AC96+AC296</f>
        <v>0</v>
      </c>
      <c r="AD95" s="48"/>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row>
    <row r="96" spans="1:54" ht="25.5" customHeight="1">
      <c r="A96" s="43" t="s">
        <v>535</v>
      </c>
      <c r="B96" s="44" t="s">
        <v>536</v>
      </c>
      <c r="C96" s="45"/>
      <c r="D96" s="46">
        <f>D97+D250+D268+D269+D272+D273+D274+D291</f>
        <v>0</v>
      </c>
      <c r="E96" s="47">
        <f t="shared" si="16"/>
        <v>0</v>
      </c>
      <c r="F96" s="48">
        <f t="shared" ref="F96" si="20">F97+F250+F268+F269+F272+F274+F291</f>
        <v>0</v>
      </c>
      <c r="G96" s="46">
        <f>G97+G250+G268+G269+G272+G273+G274+G291</f>
        <v>0</v>
      </c>
      <c r="H96" s="46">
        <f>H97+H250+H268+H269+H272+H273+H274+H291</f>
        <v>0</v>
      </c>
      <c r="I96" s="46">
        <f t="shared" ref="I96:Y96" si="21">I97+I250+I268+I269+I272+I273+I274+I291</f>
        <v>0</v>
      </c>
      <c r="J96" s="46">
        <f t="shared" si="21"/>
        <v>0</v>
      </c>
      <c r="K96" s="46">
        <f t="shared" si="21"/>
        <v>0</v>
      </c>
      <c r="L96" s="46">
        <f t="shared" si="21"/>
        <v>0</v>
      </c>
      <c r="M96" s="46">
        <f t="shared" si="21"/>
        <v>0</v>
      </c>
      <c r="N96" s="46">
        <f t="shared" si="21"/>
        <v>0</v>
      </c>
      <c r="O96" s="46">
        <f t="shared" si="21"/>
        <v>0</v>
      </c>
      <c r="P96" s="46">
        <f t="shared" si="21"/>
        <v>0</v>
      </c>
      <c r="Q96" s="46">
        <f t="shared" si="21"/>
        <v>0</v>
      </c>
      <c r="R96" s="46">
        <f t="shared" si="21"/>
        <v>0</v>
      </c>
      <c r="S96" s="46">
        <f t="shared" si="21"/>
        <v>0</v>
      </c>
      <c r="T96" s="46">
        <f t="shared" si="21"/>
        <v>0</v>
      </c>
      <c r="U96" s="46">
        <f t="shared" si="21"/>
        <v>0</v>
      </c>
      <c r="V96" s="46">
        <f t="shared" si="21"/>
        <v>0</v>
      </c>
      <c r="W96" s="46">
        <f t="shared" si="21"/>
        <v>0</v>
      </c>
      <c r="X96" s="46">
        <f t="shared" si="21"/>
        <v>0</v>
      </c>
      <c r="Y96" s="46">
        <f t="shared" si="21"/>
        <v>0</v>
      </c>
      <c r="Z96" s="48">
        <f>Z97+Z250+Z268+Z269+Z272+Z274+Z291</f>
        <v>0</v>
      </c>
      <c r="AA96" s="48">
        <f t="shared" si="17"/>
        <v>0</v>
      </c>
      <c r="AB96" s="48">
        <f>AB97+AB250+AB268+AB269+AB272+AB274+AB291</f>
        <v>0</v>
      </c>
      <c r="AC96" s="48">
        <f>AC97+AC250+AC268+AC269+AC272+AC274+AC291</f>
        <v>0</v>
      </c>
      <c r="AD96" s="48"/>
      <c r="AE96" s="48"/>
      <c r="AF96" s="46"/>
      <c r="AG96" s="46"/>
      <c r="AH96" s="46"/>
      <c r="AI96" s="46"/>
      <c r="AJ96" s="46"/>
      <c r="AK96" s="46"/>
      <c r="AL96" s="46"/>
      <c r="AM96" s="46"/>
      <c r="AN96" s="46"/>
      <c r="AO96" s="46"/>
      <c r="AP96" s="46"/>
      <c r="AQ96" s="46"/>
      <c r="AR96" s="46"/>
      <c r="AS96" s="46"/>
      <c r="AT96" s="46"/>
      <c r="AU96" s="46"/>
      <c r="AV96" s="46"/>
      <c r="AW96" s="46"/>
      <c r="AX96" s="46"/>
      <c r="AY96" s="48"/>
      <c r="AZ96" s="48"/>
      <c r="BA96" s="48"/>
      <c r="BB96" s="48"/>
    </row>
    <row r="97" spans="1:54" ht="21.75" customHeight="1">
      <c r="A97" s="59" t="s">
        <v>28</v>
      </c>
      <c r="B97" s="60" t="s">
        <v>161</v>
      </c>
      <c r="C97" s="61"/>
      <c r="D97" s="62">
        <f>D98+D103+D106+D109+D113+D116+D123+D129+D133+D137+D140+D144+D147+D151+D154+D158+D162+D164+D167+D163+D169+D168+D170+D171+D172+D175+D179+D181+D184+D185+D188+D189+D192+D193+D197+D198+D201+D203+D205+D207+D208+D209+D210+D211+D212+D213+D216+D217+D218+D219+D220+D221+D222+D225+D233+D246+D249</f>
        <v>0</v>
      </c>
      <c r="E97" s="47">
        <f>F97+G97+Y97+Z97+AA97</f>
        <v>0</v>
      </c>
      <c r="F97" s="63">
        <f t="shared" ref="F97" si="22">F98+F103+F106+F109+F113+F116+F123+F129+F133+F137+F140+F144+F147+F151+F154+F158+F162+F164+F167+F163+F169+F168+F170+F171+F172+F175+F179+F181+F184+F185+F188+F189+F192+F193+F197+F198+F201+F203+F205+F207+F208+F209+F210+F211+F212+F213+F216+F217+F218+F219+F220+F221+F222+F225+F233+F246</f>
        <v>0</v>
      </c>
      <c r="G97" s="62">
        <f>G98+G103+G106+G109+G113+G116+G123+G129+G133+G137+G140+G144+G147+G151+G154+G158+G162+G164+G167+G163+G169+G168+G170+G171+G172+G175+G179+G181+G184+G185+G188+G189+G192+G193+G197+G198+G201+G203+G205+G207+G208+G209+G210+G211+G212+G213+G216+G217+G218+G219+G220+G221+G222+G225+G233+G246+G249</f>
        <v>0</v>
      </c>
      <c r="H97" s="62">
        <f>H98+H103+H106+H109+H113+H116+H123+H129+H133+H137+H140+H144+H147+H151+H154+H158+H162+H164+H167+H163+H169+H168+H170+H171+H172+H175+H179+H181+H184+H185+H188+H189+H192+H193+H197+H198+H201+H203+H205+H207+H208+H209+H210+H211+H212+H213+H216+H217+H218+H219+H220+H221+H222+H225+H233+H246+H249</f>
        <v>0</v>
      </c>
      <c r="I97" s="62">
        <f t="shared" ref="I97:Y97" si="23">I98+I103+I106+I109+I113+I116+I123+I129+I133+I137+I140+I144+I147+I151+I154+I158+I162+I164+I167+I163+I169+I168+I170+I171+I172+I175+I179+I181+I184+I185+I188+I189+I192+I193+I197+I198+I201+I203+I205+I207+I208+I209+I210+I211+I212+I213+I216+I217+I218+I219+I220+I221+I222+I225+I233+I246+I249</f>
        <v>0</v>
      </c>
      <c r="J97" s="62">
        <f t="shared" si="23"/>
        <v>0</v>
      </c>
      <c r="K97" s="62">
        <f t="shared" si="23"/>
        <v>0</v>
      </c>
      <c r="L97" s="62">
        <f t="shared" si="23"/>
        <v>0</v>
      </c>
      <c r="M97" s="62">
        <f t="shared" si="23"/>
        <v>0</v>
      </c>
      <c r="N97" s="62">
        <f t="shared" si="23"/>
        <v>0</v>
      </c>
      <c r="O97" s="62">
        <f t="shared" si="23"/>
        <v>0</v>
      </c>
      <c r="P97" s="62">
        <f t="shared" si="23"/>
        <v>0</v>
      </c>
      <c r="Q97" s="62">
        <f t="shared" si="23"/>
        <v>0</v>
      </c>
      <c r="R97" s="62">
        <f t="shared" si="23"/>
        <v>0</v>
      </c>
      <c r="S97" s="62">
        <f t="shared" si="23"/>
        <v>0</v>
      </c>
      <c r="T97" s="62">
        <f t="shared" si="23"/>
        <v>0</v>
      </c>
      <c r="U97" s="62">
        <f t="shared" si="23"/>
        <v>0</v>
      </c>
      <c r="V97" s="62">
        <f t="shared" si="23"/>
        <v>0</v>
      </c>
      <c r="W97" s="62">
        <f t="shared" si="23"/>
        <v>0</v>
      </c>
      <c r="X97" s="62">
        <f t="shared" si="23"/>
        <v>0</v>
      </c>
      <c r="Y97" s="62">
        <f t="shared" si="23"/>
        <v>0</v>
      </c>
      <c r="Z97" s="63"/>
      <c r="AA97" s="63">
        <f t="shared" si="17"/>
        <v>0</v>
      </c>
      <c r="AB97" s="63"/>
      <c r="AC97" s="63"/>
      <c r="AD97" s="48"/>
      <c r="AE97" s="63"/>
      <c r="AF97" s="62"/>
      <c r="AG97" s="62"/>
      <c r="AH97" s="62"/>
      <c r="AI97" s="62"/>
      <c r="AJ97" s="62"/>
      <c r="AK97" s="62"/>
      <c r="AL97" s="62"/>
      <c r="AM97" s="62"/>
      <c r="AN97" s="62"/>
      <c r="AO97" s="62"/>
      <c r="AP97" s="62"/>
      <c r="AQ97" s="62"/>
      <c r="AR97" s="62"/>
      <c r="AS97" s="62"/>
      <c r="AT97" s="62"/>
      <c r="AU97" s="62"/>
      <c r="AV97" s="62"/>
      <c r="AW97" s="62"/>
      <c r="AX97" s="62"/>
      <c r="AY97" s="63"/>
      <c r="AZ97" s="63"/>
      <c r="BA97" s="63"/>
      <c r="BB97" s="63"/>
    </row>
    <row r="98" spans="1:54">
      <c r="A98" s="64" t="s">
        <v>422</v>
      </c>
      <c r="B98" s="65" t="s">
        <v>312</v>
      </c>
      <c r="C98" s="66"/>
      <c r="D98" s="67"/>
      <c r="E98" s="47">
        <f t="shared" si="16"/>
        <v>0</v>
      </c>
      <c r="F98" s="68">
        <f t="shared" ref="F98:Y98" si="24">F99+F100+F101+F102</f>
        <v>0</v>
      </c>
      <c r="G98" s="68">
        <f t="shared" si="24"/>
        <v>0</v>
      </c>
      <c r="H98" s="68">
        <f t="shared" si="24"/>
        <v>0</v>
      </c>
      <c r="I98" s="68">
        <f t="shared" si="24"/>
        <v>0</v>
      </c>
      <c r="J98" s="68">
        <f t="shared" si="24"/>
        <v>0</v>
      </c>
      <c r="K98" s="68">
        <f t="shared" si="24"/>
        <v>0</v>
      </c>
      <c r="L98" s="68">
        <f t="shared" si="24"/>
        <v>0</v>
      </c>
      <c r="M98" s="68">
        <f t="shared" si="24"/>
        <v>0</v>
      </c>
      <c r="N98" s="68">
        <f t="shared" si="24"/>
        <v>0</v>
      </c>
      <c r="O98" s="68">
        <f t="shared" si="24"/>
        <v>0</v>
      </c>
      <c r="P98" s="68">
        <f t="shared" si="24"/>
        <v>0</v>
      </c>
      <c r="Q98" s="68">
        <f t="shared" si="24"/>
        <v>0</v>
      </c>
      <c r="R98" s="68">
        <f t="shared" si="24"/>
        <v>0</v>
      </c>
      <c r="S98" s="68">
        <f t="shared" si="24"/>
        <v>0</v>
      </c>
      <c r="T98" s="68">
        <f t="shared" si="24"/>
        <v>0</v>
      </c>
      <c r="U98" s="68">
        <f t="shared" si="24"/>
        <v>0</v>
      </c>
      <c r="V98" s="68">
        <f t="shared" si="24"/>
        <v>0</v>
      </c>
      <c r="W98" s="68">
        <f t="shared" si="24"/>
        <v>0</v>
      </c>
      <c r="X98" s="68">
        <f t="shared" si="24"/>
        <v>0</v>
      </c>
      <c r="Y98" s="68">
        <f t="shared" si="24"/>
        <v>0</v>
      </c>
      <c r="Z98" s="68"/>
      <c r="AA98" s="68">
        <f t="shared" si="17"/>
        <v>0</v>
      </c>
      <c r="AB98" s="68"/>
      <c r="AC98" s="68"/>
      <c r="AD98" s="4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row>
    <row r="99" spans="1:54" ht="12.75" hidden="1" customHeight="1" outlineLevel="1">
      <c r="A99" s="69" t="s">
        <v>191</v>
      </c>
      <c r="B99" s="65" t="s">
        <v>313</v>
      </c>
      <c r="C99" s="66" t="s">
        <v>537</v>
      </c>
      <c r="D99" s="67"/>
      <c r="E99" s="47">
        <f t="shared" si="16"/>
        <v>0</v>
      </c>
      <c r="F99" s="68">
        <f>IF($C99="820",$D99,)</f>
        <v>0</v>
      </c>
      <c r="G99" s="68">
        <f t="shared" ref="G99:G102" si="25">H99+I99+J99+K99+L99+M99+N99+O99+P99+Q99+U99+V99+W99+X99</f>
        <v>0</v>
      </c>
      <c r="H99" s="68">
        <f>IF($C99="864",$D99,)</f>
        <v>0</v>
      </c>
      <c r="I99" s="68">
        <f>IF($C99="867",$D99,)</f>
        <v>0</v>
      </c>
      <c r="J99" s="68">
        <f>IF($C99="861",$D99,)</f>
        <v>0</v>
      </c>
      <c r="K99" s="68">
        <f>IF($C99="862",$D99,)</f>
        <v>0</v>
      </c>
      <c r="L99" s="68">
        <f>IF($C99="865",$D99,)</f>
        <v>0</v>
      </c>
      <c r="M99" s="68">
        <f>IF($C99="868",$D99,)</f>
        <v>0</v>
      </c>
      <c r="N99" s="68">
        <f>IF($C99="869",$D99,)</f>
        <v>0</v>
      </c>
      <c r="O99" s="68">
        <f>IF($C99="871",$D99,)</f>
        <v>0</v>
      </c>
      <c r="P99" s="68">
        <f>IF($C99="874",$D99,)</f>
        <v>0</v>
      </c>
      <c r="Q99" s="68">
        <f>IF($C99="873",$D99,)</f>
        <v>0</v>
      </c>
      <c r="R99" s="68"/>
      <c r="S99" s="68"/>
      <c r="T99" s="68">
        <f>Q99-R99-S99</f>
        <v>0</v>
      </c>
      <c r="U99" s="68">
        <f>IF($C99="877",$D99,)</f>
        <v>0</v>
      </c>
      <c r="V99" s="68">
        <f>IF($C99="875",$D99,)</f>
        <v>0</v>
      </c>
      <c r="W99" s="68">
        <f>IF($C99="872",$D99,)</f>
        <v>0</v>
      </c>
      <c r="X99" s="68">
        <f>IF($C99="909",$D99,)</f>
        <v>0</v>
      </c>
      <c r="Y99" s="68">
        <f>IF(OR($C99="932",$C99="934",$C99="949"),$D99,)</f>
        <v>0</v>
      </c>
      <c r="Z99" s="68"/>
      <c r="AA99" s="68">
        <f t="shared" si="17"/>
        <v>0</v>
      </c>
      <c r="AB99" s="68"/>
      <c r="AC99" s="68"/>
      <c r="AD99" s="4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row>
    <row r="100" spans="1:54" ht="12.75" hidden="1" customHeight="1" outlineLevel="1">
      <c r="A100" s="70" t="s">
        <v>192</v>
      </c>
      <c r="B100" s="53" t="s">
        <v>314</v>
      </c>
      <c r="C100" s="66" t="s">
        <v>538</v>
      </c>
      <c r="D100" s="67"/>
      <c r="E100" s="47">
        <f t="shared" si="16"/>
        <v>0</v>
      </c>
      <c r="F100" s="68">
        <f>IF($C100="820",$D100,)</f>
        <v>0</v>
      </c>
      <c r="G100" s="68">
        <f t="shared" si="25"/>
        <v>0</v>
      </c>
      <c r="H100" s="68">
        <f>IF($C100="864",$D100,)</f>
        <v>0</v>
      </c>
      <c r="I100" s="68">
        <f>IF($C100="867",$D100,)</f>
        <v>0</v>
      </c>
      <c r="J100" s="68">
        <f>IF($C100="861",$D100,)</f>
        <v>0</v>
      </c>
      <c r="K100" s="68">
        <f>IF($C100="862",$D100,)</f>
        <v>0</v>
      </c>
      <c r="L100" s="68">
        <f>IF($C100="865",$D100,)</f>
        <v>0</v>
      </c>
      <c r="M100" s="68">
        <f>IF($C100="868",$D100,)</f>
        <v>0</v>
      </c>
      <c r="N100" s="68">
        <f>IF($C100="869",$D100,)</f>
        <v>0</v>
      </c>
      <c r="O100" s="68">
        <f>IF($C100="871",$D100,)</f>
        <v>0</v>
      </c>
      <c r="P100" s="68">
        <f>IF($C100="874",$D100,)</f>
        <v>0</v>
      </c>
      <c r="Q100" s="68">
        <f>IF($C100="873",$D100,)</f>
        <v>0</v>
      </c>
      <c r="R100" s="68"/>
      <c r="S100" s="68">
        <f>Q100</f>
        <v>0</v>
      </c>
      <c r="T100" s="68">
        <f t="shared" ref="T100:T150" si="26">Q100-R100-S100</f>
        <v>0</v>
      </c>
      <c r="U100" s="68">
        <f>IF($C100="877",$D100,)</f>
        <v>0</v>
      </c>
      <c r="V100" s="68">
        <f>IF($C100="875",$D100,)</f>
        <v>0</v>
      </c>
      <c r="W100" s="68">
        <f>IF($C100="872",$D100,)</f>
        <v>0</v>
      </c>
      <c r="X100" s="68">
        <f>IF($C100="909",$D100,)</f>
        <v>0</v>
      </c>
      <c r="Y100" s="68">
        <f>IF(OR($C100="932",$C100="934",$C100="949"),$D100,)</f>
        <v>0</v>
      </c>
      <c r="Z100" s="68"/>
      <c r="AA100" s="68">
        <f t="shared" si="17"/>
        <v>0</v>
      </c>
      <c r="AB100" s="68"/>
      <c r="AC100" s="68"/>
      <c r="AD100" s="4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row>
    <row r="101" spans="1:54" ht="12.75" hidden="1" customHeight="1" outlineLevel="1">
      <c r="A101" s="69" t="s">
        <v>193</v>
      </c>
      <c r="B101" s="71" t="s">
        <v>315</v>
      </c>
      <c r="C101" s="66" t="s">
        <v>538</v>
      </c>
      <c r="D101" s="67"/>
      <c r="E101" s="47">
        <f t="shared" si="16"/>
        <v>0</v>
      </c>
      <c r="F101" s="68">
        <f>IF($C101="820",$D101,)</f>
        <v>0</v>
      </c>
      <c r="G101" s="68">
        <f t="shared" si="25"/>
        <v>0</v>
      </c>
      <c r="H101" s="68">
        <f>IF($C101="864",$D101,)</f>
        <v>0</v>
      </c>
      <c r="I101" s="68">
        <f>IF($C101="867",$D101,)</f>
        <v>0</v>
      </c>
      <c r="J101" s="68">
        <f>IF($C101="861",$D101,)</f>
        <v>0</v>
      </c>
      <c r="K101" s="68">
        <f>IF($C101="862",$D101,)</f>
        <v>0</v>
      </c>
      <c r="L101" s="68">
        <f>IF($C101="865",$D101,)</f>
        <v>0</v>
      </c>
      <c r="M101" s="68">
        <f>IF($C101="868",$D101,)</f>
        <v>0</v>
      </c>
      <c r="N101" s="68">
        <f>IF($C101="869",$D101,)</f>
        <v>0</v>
      </c>
      <c r="O101" s="68">
        <f>IF($C101="871",$D101,)</f>
        <v>0</v>
      </c>
      <c r="P101" s="68">
        <f>IF($C101="874",$D101,)</f>
        <v>0</v>
      </c>
      <c r="Q101" s="68">
        <f>IF($C101="873",$D101,)</f>
        <v>0</v>
      </c>
      <c r="R101" s="68"/>
      <c r="S101" s="68">
        <f>Q101</f>
        <v>0</v>
      </c>
      <c r="T101" s="68">
        <f t="shared" si="26"/>
        <v>0</v>
      </c>
      <c r="U101" s="68">
        <f>IF($C101="877",$D101,)</f>
        <v>0</v>
      </c>
      <c r="V101" s="68">
        <f>IF($C101="875",$D101,)</f>
        <v>0</v>
      </c>
      <c r="W101" s="68">
        <f>IF($C101="872",$D101,)</f>
        <v>0</v>
      </c>
      <c r="X101" s="68">
        <f>IF($C101="909",$D101,)</f>
        <v>0</v>
      </c>
      <c r="Y101" s="68">
        <f>IF(OR($C101="932",$C101="934",$C101="949"),$D101,)</f>
        <v>0</v>
      </c>
      <c r="Z101" s="68"/>
      <c r="AA101" s="68">
        <f t="shared" si="17"/>
        <v>0</v>
      </c>
      <c r="AB101" s="68"/>
      <c r="AC101" s="68"/>
      <c r="AD101" s="4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row>
    <row r="102" spans="1:54" ht="12.75" hidden="1" customHeight="1" outlineLevel="1">
      <c r="A102" s="70" t="s">
        <v>218</v>
      </c>
      <c r="B102" s="53" t="s">
        <v>316</v>
      </c>
      <c r="C102" s="66" t="s">
        <v>538</v>
      </c>
      <c r="D102" s="67"/>
      <c r="E102" s="47">
        <f t="shared" si="16"/>
        <v>0</v>
      </c>
      <c r="F102" s="68">
        <f>IF($C102="820",$D102,)</f>
        <v>0</v>
      </c>
      <c r="G102" s="68">
        <f t="shared" si="25"/>
        <v>0</v>
      </c>
      <c r="H102" s="68">
        <f>IF($C102="864",$D102,)</f>
        <v>0</v>
      </c>
      <c r="I102" s="68">
        <f>IF($C102="867",$D102,)</f>
        <v>0</v>
      </c>
      <c r="J102" s="68">
        <f>IF($C102="861",$D102,)</f>
        <v>0</v>
      </c>
      <c r="K102" s="68">
        <f>IF($C102="862",$D102,)</f>
        <v>0</v>
      </c>
      <c r="L102" s="68">
        <f>IF($C102="865",$D102,)</f>
        <v>0</v>
      </c>
      <c r="M102" s="68">
        <f>IF($C102="868",$D102,)</f>
        <v>0</v>
      </c>
      <c r="N102" s="68">
        <f>IF($C102="869",$D102,)</f>
        <v>0</v>
      </c>
      <c r="O102" s="68">
        <f>IF($C102="871",$D102,)</f>
        <v>0</v>
      </c>
      <c r="P102" s="68">
        <f>IF($C102="874",$D102,)</f>
        <v>0</v>
      </c>
      <c r="Q102" s="68">
        <f>IF($C102="873",$D102,)</f>
        <v>0</v>
      </c>
      <c r="R102" s="68"/>
      <c r="S102" s="68">
        <f>Q102</f>
        <v>0</v>
      </c>
      <c r="T102" s="68">
        <f t="shared" si="26"/>
        <v>0</v>
      </c>
      <c r="U102" s="68">
        <f>IF($C102="877",$D102,)</f>
        <v>0</v>
      </c>
      <c r="V102" s="68">
        <f>IF($C102="875",$D102,)</f>
        <v>0</v>
      </c>
      <c r="W102" s="68">
        <f>IF($C102="872",$D102,)</f>
        <v>0</v>
      </c>
      <c r="X102" s="68">
        <f>IF($C102="909",$D102,)</f>
        <v>0</v>
      </c>
      <c r="Y102" s="68">
        <f>IF(OR($C102="932",$C102="934",$C102="949"),$D102,)</f>
        <v>0</v>
      </c>
      <c r="Z102" s="68"/>
      <c r="AA102" s="68">
        <f t="shared" si="17"/>
        <v>0</v>
      </c>
      <c r="AB102" s="68"/>
      <c r="AC102" s="68"/>
      <c r="AD102" s="4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row>
    <row r="103" spans="1:54" collapsed="1">
      <c r="A103" s="70" t="s">
        <v>423</v>
      </c>
      <c r="B103" s="71" t="s">
        <v>310</v>
      </c>
      <c r="C103" s="66"/>
      <c r="D103" s="67"/>
      <c r="E103" s="47">
        <f t="shared" si="16"/>
        <v>0</v>
      </c>
      <c r="F103" s="68">
        <f t="shared" ref="F103:Y103" si="27">F104+F105</f>
        <v>0</v>
      </c>
      <c r="G103" s="68">
        <f t="shared" si="27"/>
        <v>0</v>
      </c>
      <c r="H103" s="68">
        <f t="shared" si="27"/>
        <v>0</v>
      </c>
      <c r="I103" s="68">
        <f t="shared" si="27"/>
        <v>0</v>
      </c>
      <c r="J103" s="68">
        <f t="shared" si="27"/>
        <v>0</v>
      </c>
      <c r="K103" s="68">
        <f t="shared" si="27"/>
        <v>0</v>
      </c>
      <c r="L103" s="68">
        <f t="shared" si="27"/>
        <v>0</v>
      </c>
      <c r="M103" s="68">
        <f t="shared" si="27"/>
        <v>0</v>
      </c>
      <c r="N103" s="68">
        <f t="shared" si="27"/>
        <v>0</v>
      </c>
      <c r="O103" s="68">
        <f t="shared" si="27"/>
        <v>0</v>
      </c>
      <c r="P103" s="68">
        <f t="shared" si="27"/>
        <v>0</v>
      </c>
      <c r="Q103" s="68">
        <f t="shared" si="27"/>
        <v>0</v>
      </c>
      <c r="R103" s="68">
        <f t="shared" si="27"/>
        <v>0</v>
      </c>
      <c r="S103" s="68">
        <f t="shared" si="27"/>
        <v>0</v>
      </c>
      <c r="T103" s="68">
        <f t="shared" si="27"/>
        <v>0</v>
      </c>
      <c r="U103" s="68">
        <f t="shared" si="27"/>
        <v>0</v>
      </c>
      <c r="V103" s="68">
        <f t="shared" si="27"/>
        <v>0</v>
      </c>
      <c r="W103" s="68">
        <f t="shared" si="27"/>
        <v>0</v>
      </c>
      <c r="X103" s="68">
        <f t="shared" si="27"/>
        <v>0</v>
      </c>
      <c r="Y103" s="68">
        <f t="shared" si="27"/>
        <v>0</v>
      </c>
      <c r="Z103" s="68"/>
      <c r="AA103" s="68">
        <f t="shared" si="17"/>
        <v>0</v>
      </c>
      <c r="AB103" s="68"/>
      <c r="AC103" s="68"/>
      <c r="AD103" s="4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row>
    <row r="104" spans="1:54" ht="12.75" hidden="1" customHeight="1" outlineLevel="1">
      <c r="A104" s="70" t="s">
        <v>200</v>
      </c>
      <c r="B104" s="65" t="s">
        <v>317</v>
      </c>
      <c r="C104" s="66" t="s">
        <v>537</v>
      </c>
      <c r="D104" s="67"/>
      <c r="E104" s="47">
        <f t="shared" si="16"/>
        <v>0</v>
      </c>
      <c r="F104" s="68">
        <f>IF($C104="820",$D104,)</f>
        <v>0</v>
      </c>
      <c r="G104" s="68">
        <f t="shared" ref="G104:G167" si="28">H104+I104+J104+K104+L104+M104+N104+O104+P104+Q104+U104+V104+W104+X104</f>
        <v>0</v>
      </c>
      <c r="H104" s="68">
        <f>IF($C104="864",$D104,)</f>
        <v>0</v>
      </c>
      <c r="I104" s="68">
        <f>IF($C104="867",$D104,)</f>
        <v>0</v>
      </c>
      <c r="J104" s="68">
        <f>IF($C104="861",$D104,)</f>
        <v>0</v>
      </c>
      <c r="K104" s="68">
        <f>IF($C104="862",$D104,)</f>
        <v>0</v>
      </c>
      <c r="L104" s="68">
        <f>IF($C104="865",$D104,)</f>
        <v>0</v>
      </c>
      <c r="M104" s="68">
        <f>IF($C104="868",$D104,)</f>
        <v>0</v>
      </c>
      <c r="N104" s="68">
        <f>IF($C104="869",$D104,)</f>
        <v>0</v>
      </c>
      <c r="O104" s="68">
        <f>IF($C104="871",$D104,)</f>
        <v>0</v>
      </c>
      <c r="P104" s="68">
        <f>IF($C104="874",$D104,)</f>
        <v>0</v>
      </c>
      <c r="Q104" s="68">
        <f>IF($C104="873",$D104,)</f>
        <v>0</v>
      </c>
      <c r="R104" s="68"/>
      <c r="S104" s="68"/>
      <c r="T104" s="68">
        <f t="shared" si="26"/>
        <v>0</v>
      </c>
      <c r="U104" s="68">
        <f>IF($C104="877",$D104,)</f>
        <v>0</v>
      </c>
      <c r="V104" s="68">
        <f>IF($C104="875",$D104,)</f>
        <v>0</v>
      </c>
      <c r="W104" s="68">
        <f>IF($C104="872",$D104,)</f>
        <v>0</v>
      </c>
      <c r="X104" s="68">
        <f>IF($C104="909",$D104,)</f>
        <v>0</v>
      </c>
      <c r="Y104" s="68">
        <f>IF(OR($C104="932",$C104="934",$C104="949"),$D104,)</f>
        <v>0</v>
      </c>
      <c r="Z104" s="68"/>
      <c r="AA104" s="68">
        <f t="shared" si="17"/>
        <v>0</v>
      </c>
      <c r="AB104" s="68"/>
      <c r="AC104" s="68"/>
      <c r="AD104" s="4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row>
    <row r="105" spans="1:54" ht="12.75" hidden="1" customHeight="1" outlineLevel="1">
      <c r="A105" s="70" t="s">
        <v>202</v>
      </c>
      <c r="B105" s="53" t="s">
        <v>318</v>
      </c>
      <c r="C105" s="66" t="s">
        <v>538</v>
      </c>
      <c r="D105" s="67"/>
      <c r="E105" s="47">
        <f t="shared" si="16"/>
        <v>0</v>
      </c>
      <c r="F105" s="68">
        <f>IF($C105="820",$D105,)</f>
        <v>0</v>
      </c>
      <c r="G105" s="68">
        <f t="shared" si="28"/>
        <v>0</v>
      </c>
      <c r="H105" s="68">
        <f>IF($C105="864",$D105,)</f>
        <v>0</v>
      </c>
      <c r="I105" s="68">
        <f>IF($C105="867",$D105,)</f>
        <v>0</v>
      </c>
      <c r="J105" s="68">
        <f>IF($C105="861",$D105,)</f>
        <v>0</v>
      </c>
      <c r="K105" s="68">
        <f>IF($C105="862",$D105,)</f>
        <v>0</v>
      </c>
      <c r="L105" s="68">
        <f>IF($C105="865",$D105,)</f>
        <v>0</v>
      </c>
      <c r="M105" s="68">
        <f>IF($C105="868",$D105,)</f>
        <v>0</v>
      </c>
      <c r="N105" s="68">
        <f>IF($C105="869",$D105,)</f>
        <v>0</v>
      </c>
      <c r="O105" s="68">
        <f>IF($C105="871",$D105,)</f>
        <v>0</v>
      </c>
      <c r="P105" s="68">
        <f>IF($C105="874",$D105,)</f>
        <v>0</v>
      </c>
      <c r="Q105" s="68">
        <f>IF($C105="873",$D105,)</f>
        <v>0</v>
      </c>
      <c r="R105" s="68">
        <f>Q105</f>
        <v>0</v>
      </c>
      <c r="S105" s="68"/>
      <c r="T105" s="68">
        <f t="shared" si="26"/>
        <v>0</v>
      </c>
      <c r="U105" s="68">
        <f>IF($C105="877",$D105,)</f>
        <v>0</v>
      </c>
      <c r="V105" s="68">
        <f>IF($C105="875",$D105,)</f>
        <v>0</v>
      </c>
      <c r="W105" s="68">
        <f>IF($C105="872",$D105,)</f>
        <v>0</v>
      </c>
      <c r="X105" s="68">
        <f>IF($C105="909",$D105,)</f>
        <v>0</v>
      </c>
      <c r="Y105" s="68">
        <f>IF(OR($C105="932",$C105="934",$C105="949"),$D105,)</f>
        <v>0</v>
      </c>
      <c r="Z105" s="68"/>
      <c r="AA105" s="68">
        <f t="shared" si="17"/>
        <v>0</v>
      </c>
      <c r="AB105" s="68"/>
      <c r="AC105" s="68"/>
      <c r="AD105" s="4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row>
    <row r="106" spans="1:54" collapsed="1">
      <c r="A106" s="72" t="s">
        <v>424</v>
      </c>
      <c r="B106" s="53" t="s">
        <v>311</v>
      </c>
      <c r="C106" s="66"/>
      <c r="D106" s="67"/>
      <c r="E106" s="47">
        <f t="shared" si="16"/>
        <v>0</v>
      </c>
      <c r="F106" s="68">
        <f t="shared" ref="F106:Y106" si="29">F107+F108</f>
        <v>0</v>
      </c>
      <c r="G106" s="68">
        <f t="shared" si="29"/>
        <v>0</v>
      </c>
      <c r="H106" s="68">
        <f t="shared" si="29"/>
        <v>0</v>
      </c>
      <c r="I106" s="68">
        <f t="shared" si="29"/>
        <v>0</v>
      </c>
      <c r="J106" s="68">
        <f t="shared" si="29"/>
        <v>0</v>
      </c>
      <c r="K106" s="68">
        <f t="shared" si="29"/>
        <v>0</v>
      </c>
      <c r="L106" s="68">
        <f t="shared" si="29"/>
        <v>0</v>
      </c>
      <c r="M106" s="68">
        <f t="shared" si="29"/>
        <v>0</v>
      </c>
      <c r="N106" s="68">
        <f t="shared" si="29"/>
        <v>0</v>
      </c>
      <c r="O106" s="68">
        <f t="shared" si="29"/>
        <v>0</v>
      </c>
      <c r="P106" s="68">
        <f t="shared" si="29"/>
        <v>0</v>
      </c>
      <c r="Q106" s="68">
        <f t="shared" si="29"/>
        <v>0</v>
      </c>
      <c r="R106" s="68">
        <f t="shared" si="29"/>
        <v>0</v>
      </c>
      <c r="S106" s="68">
        <f t="shared" si="29"/>
        <v>0</v>
      </c>
      <c r="T106" s="68">
        <f t="shared" si="29"/>
        <v>0</v>
      </c>
      <c r="U106" s="68">
        <f t="shared" si="29"/>
        <v>0</v>
      </c>
      <c r="V106" s="68">
        <f t="shared" si="29"/>
        <v>0</v>
      </c>
      <c r="W106" s="68">
        <f t="shared" si="29"/>
        <v>0</v>
      </c>
      <c r="X106" s="68">
        <f t="shared" si="29"/>
        <v>0</v>
      </c>
      <c r="Y106" s="68">
        <f t="shared" si="29"/>
        <v>0</v>
      </c>
      <c r="Z106" s="68"/>
      <c r="AA106" s="68">
        <f t="shared" si="17"/>
        <v>0</v>
      </c>
      <c r="AB106" s="68"/>
      <c r="AC106" s="68"/>
      <c r="AD106" s="4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row>
    <row r="107" spans="1:54" ht="12.75" hidden="1" customHeight="1" outlineLevel="1">
      <c r="A107" s="70" t="s">
        <v>205</v>
      </c>
      <c r="B107" s="65" t="s">
        <v>313</v>
      </c>
      <c r="C107" s="66" t="s">
        <v>537</v>
      </c>
      <c r="D107" s="67"/>
      <c r="E107" s="47">
        <f t="shared" si="16"/>
        <v>0</v>
      </c>
      <c r="F107" s="68">
        <f>IF($C107="820",$D107,)</f>
        <v>0</v>
      </c>
      <c r="G107" s="68">
        <f t="shared" si="28"/>
        <v>0</v>
      </c>
      <c r="H107" s="68">
        <f>IF($C107="864",$D107,)</f>
        <v>0</v>
      </c>
      <c r="I107" s="68">
        <f>IF($C107="867",$D107,)</f>
        <v>0</v>
      </c>
      <c r="J107" s="68">
        <f>IF($C107="861",$D107,)</f>
        <v>0</v>
      </c>
      <c r="K107" s="68">
        <f>IF($C107="862",$D107,)</f>
        <v>0</v>
      </c>
      <c r="L107" s="68">
        <f>IF($C107="865",$D107,)</f>
        <v>0</v>
      </c>
      <c r="M107" s="68">
        <f>IF($C107="868",$D107,)</f>
        <v>0</v>
      </c>
      <c r="N107" s="68">
        <f>IF($C107="869",$D107,)</f>
        <v>0</v>
      </c>
      <c r="O107" s="68">
        <f>IF($C107="871",$D107,)</f>
        <v>0</v>
      </c>
      <c r="P107" s="68">
        <f>IF($C107="874",$D107,)</f>
        <v>0</v>
      </c>
      <c r="Q107" s="68">
        <f>IF($C107="873",$D107,)</f>
        <v>0</v>
      </c>
      <c r="R107" s="68"/>
      <c r="S107" s="68"/>
      <c r="T107" s="68">
        <f t="shared" si="26"/>
        <v>0</v>
      </c>
      <c r="U107" s="68">
        <f>IF($C107="877",$D107,)</f>
        <v>0</v>
      </c>
      <c r="V107" s="68">
        <f>IF($C107="875",$D107,)</f>
        <v>0</v>
      </c>
      <c r="W107" s="68">
        <f>IF($C107="872",$D107,)</f>
        <v>0</v>
      </c>
      <c r="X107" s="68">
        <f>IF($C107="909",$D107,)</f>
        <v>0</v>
      </c>
      <c r="Y107" s="68">
        <f>IF(OR($C107="932",$C107="934",$C107="949"),$D107,)</f>
        <v>0</v>
      </c>
      <c r="Z107" s="68"/>
      <c r="AA107" s="68">
        <f t="shared" si="17"/>
        <v>0</v>
      </c>
      <c r="AB107" s="68"/>
      <c r="AC107" s="68"/>
      <c r="AD107" s="4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row>
    <row r="108" spans="1:54" ht="12.75" hidden="1" customHeight="1" outlineLevel="1">
      <c r="A108" s="70" t="s">
        <v>204</v>
      </c>
      <c r="B108" s="53" t="s">
        <v>319</v>
      </c>
      <c r="C108" s="66" t="s">
        <v>538</v>
      </c>
      <c r="D108" s="67"/>
      <c r="E108" s="47">
        <f t="shared" si="16"/>
        <v>0</v>
      </c>
      <c r="F108" s="68">
        <f>IF($C108="820",$D108,)</f>
        <v>0</v>
      </c>
      <c r="G108" s="68">
        <f t="shared" si="28"/>
        <v>0</v>
      </c>
      <c r="H108" s="68">
        <f>IF($C108="864",$D108,)</f>
        <v>0</v>
      </c>
      <c r="I108" s="68">
        <f>IF($C108="867",$D108,)</f>
        <v>0</v>
      </c>
      <c r="J108" s="68">
        <f>IF($C108="861",$D108,)</f>
        <v>0</v>
      </c>
      <c r="K108" s="68">
        <f>IF($C108="862",$D108,)</f>
        <v>0</v>
      </c>
      <c r="L108" s="68">
        <f>IF($C108="865",$D108,)</f>
        <v>0</v>
      </c>
      <c r="M108" s="68">
        <f>IF($C108="868",$D108,)</f>
        <v>0</v>
      </c>
      <c r="N108" s="68">
        <f>IF($C108="869",$D108,)</f>
        <v>0</v>
      </c>
      <c r="O108" s="68">
        <f>IF($C108="871",$D108,)</f>
        <v>0</v>
      </c>
      <c r="P108" s="68">
        <f>IF($C108="874",$D108,)</f>
        <v>0</v>
      </c>
      <c r="Q108" s="68">
        <f>IF($C108="873",$D108,)</f>
        <v>0</v>
      </c>
      <c r="R108" s="68"/>
      <c r="S108" s="68"/>
      <c r="T108" s="68">
        <f t="shared" si="26"/>
        <v>0</v>
      </c>
      <c r="U108" s="68">
        <f>IF($C108="877",$D108,)</f>
        <v>0</v>
      </c>
      <c r="V108" s="68">
        <f>IF($C108="875",$D108,)</f>
        <v>0</v>
      </c>
      <c r="W108" s="68">
        <f>IF($C108="872",$D108,)</f>
        <v>0</v>
      </c>
      <c r="X108" s="68">
        <f>IF($C108="909",$D108,)</f>
        <v>0</v>
      </c>
      <c r="Y108" s="68">
        <f>IF(OR($C108="932",$C108="934",$C108="949"),$D108,)</f>
        <v>0</v>
      </c>
      <c r="Z108" s="68"/>
      <c r="AA108" s="68">
        <f t="shared" si="17"/>
        <v>0</v>
      </c>
      <c r="AB108" s="68"/>
      <c r="AC108" s="68"/>
      <c r="AD108" s="4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row>
    <row r="109" spans="1:54" collapsed="1">
      <c r="A109" s="72" t="s">
        <v>425</v>
      </c>
      <c r="B109" s="53" t="s">
        <v>320</v>
      </c>
      <c r="C109" s="66"/>
      <c r="D109" s="67"/>
      <c r="E109" s="47">
        <f t="shared" si="16"/>
        <v>0</v>
      </c>
      <c r="F109" s="68">
        <f t="shared" ref="F109:Y109" si="30">F110+F111+F112</f>
        <v>0</v>
      </c>
      <c r="G109" s="68">
        <f t="shared" si="30"/>
        <v>0</v>
      </c>
      <c r="H109" s="68">
        <f t="shared" si="30"/>
        <v>0</v>
      </c>
      <c r="I109" s="68">
        <f t="shared" si="30"/>
        <v>0</v>
      </c>
      <c r="J109" s="68">
        <f t="shared" si="30"/>
        <v>0</v>
      </c>
      <c r="K109" s="68">
        <f t="shared" si="30"/>
        <v>0</v>
      </c>
      <c r="L109" s="68">
        <f t="shared" si="30"/>
        <v>0</v>
      </c>
      <c r="M109" s="68">
        <f t="shared" si="30"/>
        <v>0</v>
      </c>
      <c r="N109" s="68">
        <f t="shared" si="30"/>
        <v>0</v>
      </c>
      <c r="O109" s="68">
        <f t="shared" si="30"/>
        <v>0</v>
      </c>
      <c r="P109" s="68">
        <f t="shared" si="30"/>
        <v>0</v>
      </c>
      <c r="Q109" s="68">
        <f t="shared" si="30"/>
        <v>0</v>
      </c>
      <c r="R109" s="68">
        <f t="shared" si="30"/>
        <v>0</v>
      </c>
      <c r="S109" s="68">
        <f t="shared" si="30"/>
        <v>0</v>
      </c>
      <c r="T109" s="68">
        <f t="shared" si="30"/>
        <v>0</v>
      </c>
      <c r="U109" s="68">
        <f t="shared" si="30"/>
        <v>0</v>
      </c>
      <c r="V109" s="68">
        <f t="shared" si="30"/>
        <v>0</v>
      </c>
      <c r="W109" s="68">
        <f t="shared" si="30"/>
        <v>0</v>
      </c>
      <c r="X109" s="68">
        <f t="shared" si="30"/>
        <v>0</v>
      </c>
      <c r="Y109" s="68">
        <f t="shared" si="30"/>
        <v>0</v>
      </c>
      <c r="Z109" s="68"/>
      <c r="AA109" s="68">
        <f t="shared" si="17"/>
        <v>0</v>
      </c>
      <c r="AB109" s="68"/>
      <c r="AC109" s="68"/>
      <c r="AD109" s="4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row>
    <row r="110" spans="1:54" ht="12.75" hidden="1" customHeight="1" outlineLevel="1">
      <c r="A110" s="70" t="s">
        <v>206</v>
      </c>
      <c r="B110" s="65" t="s">
        <v>317</v>
      </c>
      <c r="C110" s="66" t="s">
        <v>537</v>
      </c>
      <c r="D110" s="67"/>
      <c r="E110" s="47">
        <f t="shared" si="16"/>
        <v>0</v>
      </c>
      <c r="F110" s="68">
        <f>IF($C110="820",$D110,)</f>
        <v>0</v>
      </c>
      <c r="G110" s="68">
        <f t="shared" si="28"/>
        <v>0</v>
      </c>
      <c r="H110" s="68">
        <f>IF($C110="864",$D110,)</f>
        <v>0</v>
      </c>
      <c r="I110" s="68">
        <f>IF($C110="867",$D110,)</f>
        <v>0</v>
      </c>
      <c r="J110" s="68">
        <f>IF($C110="861",$D110,)</f>
        <v>0</v>
      </c>
      <c r="K110" s="68">
        <f>IF($C110="862",$D110,)</f>
        <v>0</v>
      </c>
      <c r="L110" s="68">
        <f>IF($C110="865",$D110,)</f>
        <v>0</v>
      </c>
      <c r="M110" s="68">
        <f>IF($C110="868",$D110,)</f>
        <v>0</v>
      </c>
      <c r="N110" s="68">
        <f>IF($C110="869",$D110,)</f>
        <v>0</v>
      </c>
      <c r="O110" s="68">
        <f>IF($C110="871",$D110,)</f>
        <v>0</v>
      </c>
      <c r="P110" s="68">
        <f>IF($C110="874",$D110,)</f>
        <v>0</v>
      </c>
      <c r="Q110" s="68">
        <f>IF($C110="873",$D110,)</f>
        <v>0</v>
      </c>
      <c r="R110" s="68"/>
      <c r="S110" s="68"/>
      <c r="T110" s="68">
        <f t="shared" si="26"/>
        <v>0</v>
      </c>
      <c r="U110" s="68">
        <f>IF($C110="877",$D110,)</f>
        <v>0</v>
      </c>
      <c r="V110" s="68">
        <f>IF($C110="875",$D110,)</f>
        <v>0</v>
      </c>
      <c r="W110" s="68">
        <f>IF($C110="872",$D110,)</f>
        <v>0</v>
      </c>
      <c r="X110" s="68">
        <f>IF($C110="909",$D110,)</f>
        <v>0</v>
      </c>
      <c r="Y110" s="68">
        <f>IF(OR($C110="932",$C110="934",$C110="949"),$D110,)</f>
        <v>0</v>
      </c>
      <c r="Z110" s="68"/>
      <c r="AA110" s="68">
        <f t="shared" si="17"/>
        <v>0</v>
      </c>
      <c r="AB110" s="68"/>
      <c r="AC110" s="68"/>
      <c r="AD110" s="4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row>
    <row r="111" spans="1:54" ht="12.75" hidden="1" customHeight="1" outlineLevel="1">
      <c r="A111" s="72" t="s">
        <v>207</v>
      </c>
      <c r="B111" s="65" t="s">
        <v>321</v>
      </c>
      <c r="C111" s="66" t="s">
        <v>538</v>
      </c>
      <c r="D111" s="67"/>
      <c r="E111" s="47">
        <f t="shared" si="16"/>
        <v>0</v>
      </c>
      <c r="F111" s="68">
        <f>IF($C111="820",$D111,)</f>
        <v>0</v>
      </c>
      <c r="G111" s="68">
        <f t="shared" si="28"/>
        <v>0</v>
      </c>
      <c r="H111" s="68">
        <f>IF($C111="864",$D111,)</f>
        <v>0</v>
      </c>
      <c r="I111" s="68">
        <f>IF($C111="867",$D111,)</f>
        <v>0</v>
      </c>
      <c r="J111" s="68">
        <f>IF($C111="861",$D111,)</f>
        <v>0</v>
      </c>
      <c r="K111" s="68">
        <f>IF($C111="862",$D111,)</f>
        <v>0</v>
      </c>
      <c r="L111" s="68">
        <f>IF($C111="865",$D111,)</f>
        <v>0</v>
      </c>
      <c r="M111" s="68">
        <f>IF($C111="868",$D111,)</f>
        <v>0</v>
      </c>
      <c r="N111" s="68">
        <f>IF($C111="869",$D111,)</f>
        <v>0</v>
      </c>
      <c r="O111" s="68">
        <f>IF($C111="871",$D111,)</f>
        <v>0</v>
      </c>
      <c r="P111" s="68">
        <f>IF($C111="874",$D111,)</f>
        <v>0</v>
      </c>
      <c r="Q111" s="68">
        <f>IF($C111="873",$D111,)</f>
        <v>0</v>
      </c>
      <c r="R111" s="68"/>
      <c r="S111" s="68"/>
      <c r="T111" s="68">
        <f t="shared" si="26"/>
        <v>0</v>
      </c>
      <c r="U111" s="68">
        <f>IF($C111="877",$D111,)</f>
        <v>0</v>
      </c>
      <c r="V111" s="68">
        <f>IF($C111="875",$D111,)</f>
        <v>0</v>
      </c>
      <c r="W111" s="68">
        <f>IF($C111="872",$D111,)</f>
        <v>0</v>
      </c>
      <c r="X111" s="68">
        <f>IF($C111="909",$D111,)</f>
        <v>0</v>
      </c>
      <c r="Y111" s="68">
        <f>IF(OR($C111="932",$C111="934",$C111="949"),$D111,)</f>
        <v>0</v>
      </c>
      <c r="Z111" s="68"/>
      <c r="AA111" s="68">
        <f t="shared" si="17"/>
        <v>0</v>
      </c>
      <c r="AB111" s="68"/>
      <c r="AC111" s="68"/>
      <c r="AD111" s="4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row>
    <row r="112" spans="1:54" ht="12.75" hidden="1" customHeight="1" outlineLevel="1">
      <c r="A112" s="72" t="s">
        <v>208</v>
      </c>
      <c r="B112" s="53" t="s">
        <v>322</v>
      </c>
      <c r="C112" s="66" t="s">
        <v>539</v>
      </c>
      <c r="D112" s="67"/>
      <c r="E112" s="47">
        <f t="shared" si="16"/>
        <v>0</v>
      </c>
      <c r="F112" s="68">
        <f>IF($C112="820",$D112,)</f>
        <v>0</v>
      </c>
      <c r="G112" s="68">
        <f t="shared" si="28"/>
        <v>0</v>
      </c>
      <c r="H112" s="68">
        <f>IF($C112="864",$D112,)</f>
        <v>0</v>
      </c>
      <c r="I112" s="68">
        <f>IF($C112="867",$D112,)</f>
        <v>0</v>
      </c>
      <c r="J112" s="68">
        <f>IF($C112="861",$D112,)</f>
        <v>0</v>
      </c>
      <c r="K112" s="68">
        <f>IF($C112="862",$D112,)</f>
        <v>0</v>
      </c>
      <c r="L112" s="68">
        <f>IF($C112="865",$D112,)</f>
        <v>0</v>
      </c>
      <c r="M112" s="68">
        <f>IF($C112="868",$D112,)</f>
        <v>0</v>
      </c>
      <c r="N112" s="68">
        <f>IF($C112="869",$D112,)</f>
        <v>0</v>
      </c>
      <c r="O112" s="68">
        <f>IF($C112="871",$D112,)</f>
        <v>0</v>
      </c>
      <c r="P112" s="68">
        <f>IF($C112="874",$D112,)</f>
        <v>0</v>
      </c>
      <c r="Q112" s="68">
        <f>IF($C112="873",$D112,)</f>
        <v>0</v>
      </c>
      <c r="R112" s="68"/>
      <c r="S112" s="68"/>
      <c r="T112" s="68">
        <f t="shared" si="26"/>
        <v>0</v>
      </c>
      <c r="U112" s="68">
        <f>IF($C112="877",$D112,)</f>
        <v>0</v>
      </c>
      <c r="V112" s="68">
        <f>IF($C112="875",$D112,)</f>
        <v>0</v>
      </c>
      <c r="W112" s="68">
        <f>IF($C112="872",$D112,)</f>
        <v>0</v>
      </c>
      <c r="X112" s="68">
        <f>IF($C112="909",$D112,)</f>
        <v>0</v>
      </c>
      <c r="Y112" s="68">
        <f>IF(OR($C112="932",$C112="934",$C112="949"),$D112,)</f>
        <v>0</v>
      </c>
      <c r="Z112" s="68"/>
      <c r="AA112" s="68">
        <f t="shared" si="17"/>
        <v>0</v>
      </c>
      <c r="AB112" s="68"/>
      <c r="AC112" s="68"/>
      <c r="AD112" s="4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row>
    <row r="113" spans="1:54" ht="28.5" customHeight="1" collapsed="1">
      <c r="A113" s="72" t="s">
        <v>426</v>
      </c>
      <c r="B113" s="65" t="s">
        <v>323</v>
      </c>
      <c r="C113" s="66"/>
      <c r="D113" s="67"/>
      <c r="E113" s="47">
        <f t="shared" si="16"/>
        <v>0</v>
      </c>
      <c r="F113" s="68">
        <f t="shared" ref="F113:Y113" si="31">F114+F115</f>
        <v>0</v>
      </c>
      <c r="G113" s="68">
        <f t="shared" si="31"/>
        <v>0</v>
      </c>
      <c r="H113" s="68">
        <f t="shared" si="31"/>
        <v>0</v>
      </c>
      <c r="I113" s="68">
        <f t="shared" si="31"/>
        <v>0</v>
      </c>
      <c r="J113" s="68">
        <f t="shared" si="31"/>
        <v>0</v>
      </c>
      <c r="K113" s="68">
        <f t="shared" si="31"/>
        <v>0</v>
      </c>
      <c r="L113" s="68">
        <f t="shared" si="31"/>
        <v>0</v>
      </c>
      <c r="M113" s="68">
        <f t="shared" si="31"/>
        <v>0</v>
      </c>
      <c r="N113" s="68">
        <f t="shared" si="31"/>
        <v>0</v>
      </c>
      <c r="O113" s="68">
        <f t="shared" si="31"/>
        <v>0</v>
      </c>
      <c r="P113" s="68">
        <f t="shared" si="31"/>
        <v>0</v>
      </c>
      <c r="Q113" s="68">
        <f t="shared" si="31"/>
        <v>0</v>
      </c>
      <c r="R113" s="68">
        <f t="shared" si="31"/>
        <v>0</v>
      </c>
      <c r="S113" s="68">
        <f t="shared" si="31"/>
        <v>0</v>
      </c>
      <c r="T113" s="68">
        <f t="shared" si="31"/>
        <v>0</v>
      </c>
      <c r="U113" s="68">
        <f t="shared" si="31"/>
        <v>0</v>
      </c>
      <c r="V113" s="68">
        <f t="shared" si="31"/>
        <v>0</v>
      </c>
      <c r="W113" s="68">
        <f t="shared" si="31"/>
        <v>0</v>
      </c>
      <c r="X113" s="68">
        <f t="shared" si="31"/>
        <v>0</v>
      </c>
      <c r="Y113" s="68">
        <f t="shared" si="31"/>
        <v>0</v>
      </c>
      <c r="Z113" s="68"/>
      <c r="AA113" s="68">
        <f t="shared" si="17"/>
        <v>0</v>
      </c>
      <c r="AB113" s="68"/>
      <c r="AC113" s="68"/>
      <c r="AD113" s="4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row>
    <row r="114" spans="1:54" ht="12.75" hidden="1" customHeight="1" outlineLevel="1">
      <c r="A114" s="70" t="s">
        <v>226</v>
      </c>
      <c r="B114" s="65" t="s">
        <v>313</v>
      </c>
      <c r="C114" s="66" t="s">
        <v>537</v>
      </c>
      <c r="D114" s="67"/>
      <c r="E114" s="47">
        <f t="shared" si="16"/>
        <v>0</v>
      </c>
      <c r="F114" s="68">
        <f>IF($C114="820",$D114,)</f>
        <v>0</v>
      </c>
      <c r="G114" s="68">
        <f t="shared" si="28"/>
        <v>0</v>
      </c>
      <c r="H114" s="68">
        <f>IF($C114="864",$D114,)</f>
        <v>0</v>
      </c>
      <c r="I114" s="68">
        <f>IF($C114="867",$D114,)</f>
        <v>0</v>
      </c>
      <c r="J114" s="68">
        <f>IF($C114="861",$D114,)</f>
        <v>0</v>
      </c>
      <c r="K114" s="68">
        <f>IF($C114="862",$D114,)</f>
        <v>0</v>
      </c>
      <c r="L114" s="68">
        <f>IF($C114="865",$D114,)</f>
        <v>0</v>
      </c>
      <c r="M114" s="68">
        <f>IF($C114="868",$D114,)</f>
        <v>0</v>
      </c>
      <c r="N114" s="68">
        <f>IF($C114="869",$D114,)</f>
        <v>0</v>
      </c>
      <c r="O114" s="68">
        <f>IF($C114="871",$D114,)</f>
        <v>0</v>
      </c>
      <c r="P114" s="68">
        <f>IF($C114="874",$D114,)</f>
        <v>0</v>
      </c>
      <c r="Q114" s="68">
        <f>IF($C114="873",$D114,)</f>
        <v>0</v>
      </c>
      <c r="R114" s="68"/>
      <c r="S114" s="68"/>
      <c r="T114" s="68">
        <f t="shared" si="26"/>
        <v>0</v>
      </c>
      <c r="U114" s="68">
        <f>IF($C114="877",$D114,)</f>
        <v>0</v>
      </c>
      <c r="V114" s="68">
        <f>IF($C114="875",$D114,)</f>
        <v>0</v>
      </c>
      <c r="W114" s="68">
        <f>IF($C114="872",$D114,)</f>
        <v>0</v>
      </c>
      <c r="X114" s="68">
        <f>IF($C114="909",$D114,)</f>
        <v>0</v>
      </c>
      <c r="Y114" s="68">
        <f>IF(OR($C114="932",$C114="934",$C114="949"),$D114,)</f>
        <v>0</v>
      </c>
      <c r="Z114" s="68"/>
      <c r="AA114" s="68">
        <f t="shared" si="17"/>
        <v>0</v>
      </c>
      <c r="AB114" s="68"/>
      <c r="AC114" s="68"/>
      <c r="AD114" s="4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row>
    <row r="115" spans="1:54" ht="12.75" hidden="1" customHeight="1" outlineLevel="1">
      <c r="A115" s="72" t="s">
        <v>227</v>
      </c>
      <c r="B115" s="65" t="s">
        <v>324</v>
      </c>
      <c r="C115" s="66" t="s">
        <v>538</v>
      </c>
      <c r="D115" s="67"/>
      <c r="E115" s="47">
        <f t="shared" si="16"/>
        <v>0</v>
      </c>
      <c r="F115" s="68">
        <f>IF($C115="820",$D115,)</f>
        <v>0</v>
      </c>
      <c r="G115" s="68">
        <f t="shared" si="28"/>
        <v>0</v>
      </c>
      <c r="H115" s="68">
        <f>IF($C115="864",$D115,)</f>
        <v>0</v>
      </c>
      <c r="I115" s="68">
        <f>IF($C115="867",$D115,)</f>
        <v>0</v>
      </c>
      <c r="J115" s="68">
        <f>IF($C115="861",$D115,)</f>
        <v>0</v>
      </c>
      <c r="K115" s="68">
        <f>IF($C115="862",$D115,)</f>
        <v>0</v>
      </c>
      <c r="L115" s="68">
        <f>IF($C115="865",$D115,)</f>
        <v>0</v>
      </c>
      <c r="M115" s="68">
        <f>IF($C115="868",$D115,)</f>
        <v>0</v>
      </c>
      <c r="N115" s="68">
        <f>IF($C115="869",$D115,)</f>
        <v>0</v>
      </c>
      <c r="O115" s="68">
        <f>IF($C115="871",$D115,)</f>
        <v>0</v>
      </c>
      <c r="P115" s="68">
        <f>IF($C115="874",$D115,)</f>
        <v>0</v>
      </c>
      <c r="Q115" s="68">
        <f>IF($C115="873",$D115,)</f>
        <v>0</v>
      </c>
      <c r="R115" s="68"/>
      <c r="S115" s="68"/>
      <c r="T115" s="68">
        <f t="shared" si="26"/>
        <v>0</v>
      </c>
      <c r="U115" s="68">
        <f>IF($C115="877",$D115,)</f>
        <v>0</v>
      </c>
      <c r="V115" s="68">
        <f>IF($C115="875",$D115,)</f>
        <v>0</v>
      </c>
      <c r="W115" s="68">
        <f>IF($C115="872",$D115,)</f>
        <v>0</v>
      </c>
      <c r="X115" s="68">
        <f>IF($C115="909",$D115,)</f>
        <v>0</v>
      </c>
      <c r="Y115" s="68">
        <f>IF(OR($C115="932",$C115="934",$C115="949"),$D115,)</f>
        <v>0</v>
      </c>
      <c r="Z115" s="68"/>
      <c r="AA115" s="68">
        <f t="shared" si="17"/>
        <v>0</v>
      </c>
      <c r="AB115" s="68"/>
      <c r="AC115" s="68"/>
      <c r="AD115" s="4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row>
    <row r="116" spans="1:54" collapsed="1">
      <c r="A116" s="72" t="s">
        <v>427</v>
      </c>
      <c r="B116" s="53" t="s">
        <v>325</v>
      </c>
      <c r="C116" s="73"/>
      <c r="D116" s="67"/>
      <c r="E116" s="47">
        <f t="shared" si="16"/>
        <v>0</v>
      </c>
      <c r="F116" s="68">
        <f>F117+F121</f>
        <v>0</v>
      </c>
      <c r="G116" s="68">
        <f t="shared" si="28"/>
        <v>0</v>
      </c>
      <c r="H116" s="68">
        <f>H117+H121+H122</f>
        <v>0</v>
      </c>
      <c r="I116" s="68">
        <f t="shared" ref="I116:Y116" si="32">I117+I121+I122</f>
        <v>0</v>
      </c>
      <c r="J116" s="68">
        <f t="shared" si="32"/>
        <v>0</v>
      </c>
      <c r="K116" s="68">
        <f t="shared" si="32"/>
        <v>0</v>
      </c>
      <c r="L116" s="68">
        <f t="shared" si="32"/>
        <v>0</v>
      </c>
      <c r="M116" s="68">
        <f t="shared" si="32"/>
        <v>0</v>
      </c>
      <c r="N116" s="68">
        <f t="shared" si="32"/>
        <v>0</v>
      </c>
      <c r="O116" s="68">
        <f t="shared" si="32"/>
        <v>0</v>
      </c>
      <c r="P116" s="68">
        <f t="shared" si="32"/>
        <v>0</v>
      </c>
      <c r="Q116" s="68">
        <f t="shared" si="32"/>
        <v>0</v>
      </c>
      <c r="R116" s="68">
        <f t="shared" si="32"/>
        <v>0</v>
      </c>
      <c r="S116" s="68">
        <f t="shared" si="32"/>
        <v>0</v>
      </c>
      <c r="T116" s="68">
        <f t="shared" si="32"/>
        <v>0</v>
      </c>
      <c r="U116" s="68">
        <f t="shared" si="32"/>
        <v>0</v>
      </c>
      <c r="V116" s="68">
        <f t="shared" si="32"/>
        <v>0</v>
      </c>
      <c r="W116" s="68">
        <f t="shared" si="32"/>
        <v>0</v>
      </c>
      <c r="X116" s="68">
        <f t="shared" si="32"/>
        <v>0</v>
      </c>
      <c r="Y116" s="68">
        <f t="shared" si="32"/>
        <v>0</v>
      </c>
      <c r="Z116" s="68"/>
      <c r="AA116" s="68">
        <f t="shared" si="17"/>
        <v>0</v>
      </c>
      <c r="AB116" s="68"/>
      <c r="AC116" s="68"/>
      <c r="AD116" s="4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row>
    <row r="117" spans="1:54" ht="12.75" hidden="1" customHeight="1" outlineLevel="1">
      <c r="A117" s="74" t="s">
        <v>232</v>
      </c>
      <c r="B117" s="53" t="s">
        <v>326</v>
      </c>
      <c r="C117" s="73"/>
      <c r="D117" s="67"/>
      <c r="E117" s="47">
        <f t="shared" si="16"/>
        <v>0</v>
      </c>
      <c r="F117" s="68">
        <f t="shared" ref="F117:Y117" si="33">F118+F119+F120</f>
        <v>0</v>
      </c>
      <c r="G117" s="68">
        <f t="shared" si="33"/>
        <v>0</v>
      </c>
      <c r="H117" s="68">
        <f t="shared" si="33"/>
        <v>0</v>
      </c>
      <c r="I117" s="68">
        <f t="shared" si="33"/>
        <v>0</v>
      </c>
      <c r="J117" s="68">
        <f t="shared" si="33"/>
        <v>0</v>
      </c>
      <c r="K117" s="68">
        <f t="shared" si="33"/>
        <v>0</v>
      </c>
      <c r="L117" s="68">
        <f t="shared" si="33"/>
        <v>0</v>
      </c>
      <c r="M117" s="68">
        <f t="shared" si="33"/>
        <v>0</v>
      </c>
      <c r="N117" s="68">
        <f t="shared" si="33"/>
        <v>0</v>
      </c>
      <c r="O117" s="68">
        <f t="shared" si="33"/>
        <v>0</v>
      </c>
      <c r="P117" s="68">
        <f t="shared" si="33"/>
        <v>0</v>
      </c>
      <c r="Q117" s="68">
        <f t="shared" si="33"/>
        <v>0</v>
      </c>
      <c r="R117" s="68">
        <f t="shared" si="33"/>
        <v>0</v>
      </c>
      <c r="S117" s="68">
        <f t="shared" si="33"/>
        <v>0</v>
      </c>
      <c r="T117" s="68">
        <f t="shared" si="33"/>
        <v>0</v>
      </c>
      <c r="U117" s="68">
        <f t="shared" si="33"/>
        <v>0</v>
      </c>
      <c r="V117" s="68">
        <f t="shared" si="33"/>
        <v>0</v>
      </c>
      <c r="W117" s="68">
        <f t="shared" si="33"/>
        <v>0</v>
      </c>
      <c r="X117" s="68">
        <f t="shared" si="33"/>
        <v>0</v>
      </c>
      <c r="Y117" s="68">
        <f t="shared" si="33"/>
        <v>0</v>
      </c>
      <c r="Z117" s="68"/>
      <c r="AA117" s="68">
        <f t="shared" si="17"/>
        <v>0</v>
      </c>
      <c r="AB117" s="68"/>
      <c r="AC117" s="68"/>
      <c r="AD117" s="4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row>
    <row r="118" spans="1:54" ht="12.75" hidden="1" customHeight="1" outlineLevel="1">
      <c r="A118" s="69" t="s">
        <v>268</v>
      </c>
      <c r="B118" s="65" t="s">
        <v>313</v>
      </c>
      <c r="C118" s="66" t="s">
        <v>537</v>
      </c>
      <c r="D118" s="67"/>
      <c r="E118" s="47">
        <f t="shared" si="16"/>
        <v>0</v>
      </c>
      <c r="F118" s="68">
        <f>IF($C118="820",$D118,)</f>
        <v>0</v>
      </c>
      <c r="G118" s="68">
        <f t="shared" si="28"/>
        <v>0</v>
      </c>
      <c r="H118" s="68">
        <f>IF($C118="864",$D118,)</f>
        <v>0</v>
      </c>
      <c r="I118" s="68">
        <f>IF($C118="867",$D118,)</f>
        <v>0</v>
      </c>
      <c r="J118" s="68">
        <f>IF($C118="861",$D118,)</f>
        <v>0</v>
      </c>
      <c r="K118" s="68">
        <f>IF($C118="862",$D118,)</f>
        <v>0</v>
      </c>
      <c r="L118" s="68">
        <f>IF($C118="865",$D118,)</f>
        <v>0</v>
      </c>
      <c r="M118" s="68">
        <f>IF($C118="868",$D118,)</f>
        <v>0</v>
      </c>
      <c r="N118" s="68">
        <f>IF($C118="869",$D118,)</f>
        <v>0</v>
      </c>
      <c r="O118" s="68">
        <f>IF($C118="871",$D118,)</f>
        <v>0</v>
      </c>
      <c r="P118" s="68">
        <f>IF($C118="874",$D118,)</f>
        <v>0</v>
      </c>
      <c r="Q118" s="68">
        <f>IF($C118="873",$D118,)</f>
        <v>0</v>
      </c>
      <c r="R118" s="68"/>
      <c r="S118" s="68"/>
      <c r="T118" s="68">
        <f t="shared" si="26"/>
        <v>0</v>
      </c>
      <c r="U118" s="68">
        <f>IF($C118="877",$D118,)</f>
        <v>0</v>
      </c>
      <c r="V118" s="68">
        <f>IF($C118="875",$D118,)</f>
        <v>0</v>
      </c>
      <c r="W118" s="68">
        <f>IF($C118="872",$D118,)</f>
        <v>0</v>
      </c>
      <c r="X118" s="68">
        <f>IF($C118="909",$D118,)</f>
        <v>0</v>
      </c>
      <c r="Y118" s="68">
        <f>IF(OR($C118="932",$C118="934",$C118="949"),$D118,)</f>
        <v>0</v>
      </c>
      <c r="Z118" s="68"/>
      <c r="AA118" s="68">
        <f t="shared" si="17"/>
        <v>0</v>
      </c>
      <c r="AB118" s="68"/>
      <c r="AC118" s="68"/>
      <c r="AD118" s="4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row>
    <row r="119" spans="1:54" ht="12.75" hidden="1" customHeight="1" outlineLevel="1">
      <c r="A119" s="69" t="s">
        <v>269</v>
      </c>
      <c r="B119" s="65" t="s">
        <v>327</v>
      </c>
      <c r="C119" s="66" t="s">
        <v>540</v>
      </c>
      <c r="D119" s="67"/>
      <c r="E119" s="47">
        <f t="shared" si="16"/>
        <v>0</v>
      </c>
      <c r="F119" s="68">
        <f>IF($C119="820",$D119,)</f>
        <v>0</v>
      </c>
      <c r="G119" s="68">
        <f t="shared" si="28"/>
        <v>0</v>
      </c>
      <c r="H119" s="68">
        <f>IF($C119="864",$D119,)</f>
        <v>0</v>
      </c>
      <c r="I119" s="68">
        <f>IF($C119="867",$D119,)</f>
        <v>0</v>
      </c>
      <c r="J119" s="68">
        <f>IF($C119="861",$D119,)</f>
        <v>0</v>
      </c>
      <c r="K119" s="68">
        <f>IF($C119="862",$D119,)</f>
        <v>0</v>
      </c>
      <c r="L119" s="68">
        <f>IF($C119="865",$D119,)</f>
        <v>0</v>
      </c>
      <c r="M119" s="68">
        <f>IF($C119="868",$D119,)</f>
        <v>0</v>
      </c>
      <c r="N119" s="68">
        <f>IF($C119="869",$D119,)</f>
        <v>0</v>
      </c>
      <c r="O119" s="68">
        <f>IF($C119="871",$D119,)</f>
        <v>0</v>
      </c>
      <c r="P119" s="68">
        <f>IF($C119="874",$D119,)</f>
        <v>0</v>
      </c>
      <c r="Q119" s="68">
        <f>IF($C119="873",$D119,)</f>
        <v>0</v>
      </c>
      <c r="R119" s="68"/>
      <c r="S119" s="68"/>
      <c r="T119" s="68">
        <f t="shared" si="26"/>
        <v>0</v>
      </c>
      <c r="U119" s="68">
        <f>IF($C119="877",$D119,)</f>
        <v>0</v>
      </c>
      <c r="V119" s="68">
        <f>IF($C119="875",$D119,)</f>
        <v>0</v>
      </c>
      <c r="W119" s="68">
        <f>IF($C119="872",$D119,)</f>
        <v>0</v>
      </c>
      <c r="X119" s="68">
        <f>IF($C119="909",$D119,)</f>
        <v>0</v>
      </c>
      <c r="Y119" s="68">
        <f>IF(OR($C119="932",$C119="934",$C119="949"),$D119,)</f>
        <v>0</v>
      </c>
      <c r="Z119" s="68"/>
      <c r="AA119" s="68">
        <f t="shared" si="17"/>
        <v>0</v>
      </c>
      <c r="AB119" s="68"/>
      <c r="AC119" s="68"/>
      <c r="AD119" s="4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row>
    <row r="120" spans="1:54" ht="12.75" hidden="1" customHeight="1" outlineLevel="1">
      <c r="A120" s="74" t="s">
        <v>270</v>
      </c>
      <c r="B120" s="53" t="s">
        <v>328</v>
      </c>
      <c r="C120" s="66" t="s">
        <v>540</v>
      </c>
      <c r="D120" s="67"/>
      <c r="E120" s="47">
        <f t="shared" si="16"/>
        <v>0</v>
      </c>
      <c r="F120" s="68">
        <f>IF($C120="820",$D120,)</f>
        <v>0</v>
      </c>
      <c r="G120" s="68">
        <f t="shared" si="28"/>
        <v>0</v>
      </c>
      <c r="H120" s="68">
        <f>IF($C120="864",$D120,)</f>
        <v>0</v>
      </c>
      <c r="I120" s="68">
        <f>IF($C120="867",$D120,)</f>
        <v>0</v>
      </c>
      <c r="J120" s="68">
        <f>IF($C120="861",$D120,)</f>
        <v>0</v>
      </c>
      <c r="K120" s="68">
        <f>IF($C120="862",$D120,)</f>
        <v>0</v>
      </c>
      <c r="L120" s="68">
        <f>IF($C120="865",$D120,)</f>
        <v>0</v>
      </c>
      <c r="M120" s="68">
        <f>IF($C120="868",$D120,)</f>
        <v>0</v>
      </c>
      <c r="N120" s="68">
        <f>IF($C120="869",$D120,)</f>
        <v>0</v>
      </c>
      <c r="O120" s="68">
        <f>IF($C120="871",$D120,)</f>
        <v>0</v>
      </c>
      <c r="P120" s="68">
        <f>IF($C120="874",$D120,)</f>
        <v>0</v>
      </c>
      <c r="Q120" s="68">
        <f>IF($C120="873",$D120,)</f>
        <v>0</v>
      </c>
      <c r="R120" s="68"/>
      <c r="S120" s="68"/>
      <c r="T120" s="68">
        <f t="shared" si="26"/>
        <v>0</v>
      </c>
      <c r="U120" s="68">
        <f>IF($C120="877",$D120,)</f>
        <v>0</v>
      </c>
      <c r="V120" s="68">
        <f>IF($C120="875",$D120,)</f>
        <v>0</v>
      </c>
      <c r="W120" s="68">
        <f>IF($C120="872",$D120,)</f>
        <v>0</v>
      </c>
      <c r="X120" s="68">
        <f>IF($C120="909",$D120,)</f>
        <v>0</v>
      </c>
      <c r="Y120" s="68">
        <f>IF(OR($C120="932",$C120="934",$C120="949"),$D120,)</f>
        <v>0</v>
      </c>
      <c r="Z120" s="68"/>
      <c r="AA120" s="68">
        <f t="shared" si="17"/>
        <v>0</v>
      </c>
      <c r="AB120" s="68"/>
      <c r="AC120" s="68"/>
      <c r="AD120" s="4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row>
    <row r="121" spans="1:54" ht="51" hidden="1" customHeight="1" outlineLevel="1">
      <c r="A121" s="74" t="s">
        <v>233</v>
      </c>
      <c r="B121" s="53" t="s">
        <v>329</v>
      </c>
      <c r="C121" s="66" t="s">
        <v>540</v>
      </c>
      <c r="D121" s="67"/>
      <c r="E121" s="47">
        <f t="shared" si="16"/>
        <v>0</v>
      </c>
      <c r="F121" s="68">
        <f>IF($C121="820",$D121,)</f>
        <v>0</v>
      </c>
      <c r="G121" s="68">
        <f t="shared" si="28"/>
        <v>0</v>
      </c>
      <c r="H121" s="68">
        <f>IF($C121="864",$D121,)</f>
        <v>0</v>
      </c>
      <c r="I121" s="68">
        <f>IF($C121="867",$D121,)</f>
        <v>0</v>
      </c>
      <c r="J121" s="68">
        <f>IF($C121="861",$D121,)</f>
        <v>0</v>
      </c>
      <c r="K121" s="68">
        <f>IF($C121="862",$D121,)</f>
        <v>0</v>
      </c>
      <c r="L121" s="68">
        <f>IF($C121="865",$D121,)</f>
        <v>0</v>
      </c>
      <c r="M121" s="68">
        <f>IF($C121="868",$D121,)</f>
        <v>0</v>
      </c>
      <c r="N121" s="68">
        <f>IF($C121="869",$D121,)</f>
        <v>0</v>
      </c>
      <c r="O121" s="68">
        <f>IF($C121="871",$D121,)</f>
        <v>0</v>
      </c>
      <c r="P121" s="68">
        <f>IF($C121="874",$D121,)</f>
        <v>0</v>
      </c>
      <c r="Q121" s="68">
        <f>IF($C121="873",$D121,)</f>
        <v>0</v>
      </c>
      <c r="R121" s="68"/>
      <c r="S121" s="68"/>
      <c r="T121" s="68">
        <f t="shared" si="26"/>
        <v>0</v>
      </c>
      <c r="U121" s="68">
        <f>IF($C121="877",$D121,)</f>
        <v>0</v>
      </c>
      <c r="V121" s="68">
        <f>IF($C121="875",$D121,)</f>
        <v>0</v>
      </c>
      <c r="W121" s="68">
        <f>IF($C121="872",$D121,)</f>
        <v>0</v>
      </c>
      <c r="X121" s="68">
        <f>IF($C121="909",$D121,)</f>
        <v>0</v>
      </c>
      <c r="Y121" s="68">
        <f>IF(OR($C121="932",$C121="934",$C121="949"),$D121,)</f>
        <v>0</v>
      </c>
      <c r="Z121" s="68"/>
      <c r="AA121" s="68">
        <f t="shared" si="17"/>
        <v>0</v>
      </c>
      <c r="AB121" s="68"/>
      <c r="AC121" s="68"/>
      <c r="AD121" s="4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row>
    <row r="122" spans="1:54" ht="38.25" hidden="1" customHeight="1" outlineLevel="1">
      <c r="A122" s="74" t="s">
        <v>234</v>
      </c>
      <c r="B122" s="53" t="s">
        <v>330</v>
      </c>
      <c r="C122" s="66" t="s">
        <v>540</v>
      </c>
      <c r="D122" s="67"/>
      <c r="E122" s="47">
        <f t="shared" si="16"/>
        <v>0</v>
      </c>
      <c r="F122" s="68">
        <f>IF($C122="820",$D122,)</f>
        <v>0</v>
      </c>
      <c r="G122" s="68">
        <f t="shared" si="28"/>
        <v>0</v>
      </c>
      <c r="H122" s="68">
        <f>IF($C122="864",$D122,)</f>
        <v>0</v>
      </c>
      <c r="I122" s="68">
        <f>IF($C122="867",$D122,)</f>
        <v>0</v>
      </c>
      <c r="J122" s="68">
        <f>IF($C122="861",$D122,)</f>
        <v>0</v>
      </c>
      <c r="K122" s="68">
        <f>IF($C122="862",$D122,)</f>
        <v>0</v>
      </c>
      <c r="L122" s="68">
        <f>IF($C122="865",$D122,)</f>
        <v>0</v>
      </c>
      <c r="M122" s="68">
        <f>IF($C122="868",$D122,)</f>
        <v>0</v>
      </c>
      <c r="N122" s="68">
        <f>IF($C122="869",$D122,)</f>
        <v>0</v>
      </c>
      <c r="O122" s="68">
        <f>IF($C122="871",$D122,)</f>
        <v>0</v>
      </c>
      <c r="P122" s="68">
        <f>IF($C122="874",$D122,)</f>
        <v>0</v>
      </c>
      <c r="Q122" s="68">
        <f>IF($C122="873",$D122,)</f>
        <v>0</v>
      </c>
      <c r="R122" s="68"/>
      <c r="S122" s="68"/>
      <c r="T122" s="68">
        <f t="shared" si="26"/>
        <v>0</v>
      </c>
      <c r="U122" s="68">
        <f>IF($C122="877",$D122,)</f>
        <v>0</v>
      </c>
      <c r="V122" s="68">
        <f>IF($C122="875",$D122,)</f>
        <v>0</v>
      </c>
      <c r="W122" s="68">
        <f>IF($C122="872",$D122,)</f>
        <v>0</v>
      </c>
      <c r="X122" s="68">
        <f>IF($C122="909",$D122,)</f>
        <v>0</v>
      </c>
      <c r="Y122" s="68">
        <f>IF(OR($C122="932",$C122="934",$C122="949"),$D122,)</f>
        <v>0</v>
      </c>
      <c r="Z122" s="68"/>
      <c r="AA122" s="68"/>
      <c r="AB122" s="68"/>
      <c r="AC122" s="68"/>
      <c r="AD122" s="4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row>
    <row r="123" spans="1:54" collapsed="1">
      <c r="A123" s="72" t="s">
        <v>428</v>
      </c>
      <c r="B123" s="53" t="s">
        <v>303</v>
      </c>
      <c r="C123" s="66"/>
      <c r="D123" s="67"/>
      <c r="E123" s="47">
        <f t="shared" si="16"/>
        <v>0</v>
      </c>
      <c r="F123" s="68">
        <f t="shared" ref="F123:Y123" si="34">F124+F125+F126+F128+F127</f>
        <v>0</v>
      </c>
      <c r="G123" s="68">
        <f t="shared" si="34"/>
        <v>0</v>
      </c>
      <c r="H123" s="68">
        <f t="shared" si="34"/>
        <v>0</v>
      </c>
      <c r="I123" s="68">
        <f t="shared" si="34"/>
        <v>0</v>
      </c>
      <c r="J123" s="68">
        <f t="shared" si="34"/>
        <v>0</v>
      </c>
      <c r="K123" s="68">
        <f t="shared" si="34"/>
        <v>0</v>
      </c>
      <c r="L123" s="68">
        <f t="shared" si="34"/>
        <v>0</v>
      </c>
      <c r="M123" s="68">
        <f t="shared" si="34"/>
        <v>0</v>
      </c>
      <c r="N123" s="68">
        <f t="shared" si="34"/>
        <v>0</v>
      </c>
      <c r="O123" s="68">
        <f t="shared" si="34"/>
        <v>0</v>
      </c>
      <c r="P123" s="68">
        <f t="shared" si="34"/>
        <v>0</v>
      </c>
      <c r="Q123" s="68">
        <f t="shared" si="34"/>
        <v>0</v>
      </c>
      <c r="R123" s="68">
        <f t="shared" si="34"/>
        <v>0</v>
      </c>
      <c r="S123" s="68">
        <f t="shared" si="34"/>
        <v>0</v>
      </c>
      <c r="T123" s="68">
        <f t="shared" si="34"/>
        <v>0</v>
      </c>
      <c r="U123" s="68">
        <f t="shared" si="34"/>
        <v>0</v>
      </c>
      <c r="V123" s="68">
        <f t="shared" si="34"/>
        <v>0</v>
      </c>
      <c r="W123" s="68">
        <f t="shared" si="34"/>
        <v>0</v>
      </c>
      <c r="X123" s="68">
        <f t="shared" si="34"/>
        <v>0</v>
      </c>
      <c r="Y123" s="68">
        <f t="shared" si="34"/>
        <v>0</v>
      </c>
      <c r="Z123" s="68"/>
      <c r="AA123" s="68">
        <f t="shared" si="17"/>
        <v>0</v>
      </c>
      <c r="AB123" s="68"/>
      <c r="AC123" s="68"/>
      <c r="AD123" s="4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row>
    <row r="124" spans="1:54" ht="12.75" hidden="1" customHeight="1" outlineLevel="1">
      <c r="A124" s="70" t="s">
        <v>429</v>
      </c>
      <c r="B124" s="65" t="s">
        <v>313</v>
      </c>
      <c r="C124" s="66" t="s">
        <v>537</v>
      </c>
      <c r="D124" s="67"/>
      <c r="E124" s="47">
        <f t="shared" si="16"/>
        <v>0</v>
      </c>
      <c r="F124" s="68">
        <f>IF($C124="820",$D124,)</f>
        <v>0</v>
      </c>
      <c r="G124" s="68">
        <f t="shared" si="28"/>
        <v>0</v>
      </c>
      <c r="H124" s="68">
        <f>IF($C124="864",$D124,)</f>
        <v>0</v>
      </c>
      <c r="I124" s="68">
        <f>IF($C124="867",$D124,)</f>
        <v>0</v>
      </c>
      <c r="J124" s="68">
        <f>IF($C124="861",$D124,)</f>
        <v>0</v>
      </c>
      <c r="K124" s="68">
        <f>IF($C124="862",$D124,)</f>
        <v>0</v>
      </c>
      <c r="L124" s="68">
        <f>IF($C124="865",$D124,)</f>
        <v>0</v>
      </c>
      <c r="M124" s="68">
        <f>IF($C124="868",$D124,)</f>
        <v>0</v>
      </c>
      <c r="N124" s="68">
        <f>IF($C124="869",$D124,)</f>
        <v>0</v>
      </c>
      <c r="O124" s="68">
        <f>IF($C124="871",$D124,)</f>
        <v>0</v>
      </c>
      <c r="P124" s="68">
        <f>IF($C124="874",$D124,)</f>
        <v>0</v>
      </c>
      <c r="Q124" s="68">
        <f>IF($C124="873",$D124,)</f>
        <v>0</v>
      </c>
      <c r="R124" s="68"/>
      <c r="S124" s="68"/>
      <c r="T124" s="68">
        <f t="shared" si="26"/>
        <v>0</v>
      </c>
      <c r="U124" s="68">
        <f>IF($C124="877",$D124,)</f>
        <v>0</v>
      </c>
      <c r="V124" s="68">
        <f>IF($C124="875",$D124,)</f>
        <v>0</v>
      </c>
      <c r="W124" s="68">
        <f>IF($C124="872",$D124,)</f>
        <v>0</v>
      </c>
      <c r="X124" s="68">
        <f>IF($C124="909",$D124,)</f>
        <v>0</v>
      </c>
      <c r="Y124" s="68">
        <f>IF(OR($C124="932",$C124="934",$C124="949"),$D124,)</f>
        <v>0</v>
      </c>
      <c r="Z124" s="68"/>
      <c r="AA124" s="68">
        <f t="shared" si="17"/>
        <v>0</v>
      </c>
      <c r="AB124" s="68"/>
      <c r="AC124" s="68"/>
      <c r="AD124" s="4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row>
    <row r="125" spans="1:54" ht="12.75" hidden="1" customHeight="1" outlineLevel="1">
      <c r="A125" s="70" t="s">
        <v>430</v>
      </c>
      <c r="B125" s="65" t="s">
        <v>331</v>
      </c>
      <c r="C125" s="66" t="s">
        <v>541</v>
      </c>
      <c r="D125" s="67"/>
      <c r="E125" s="47">
        <f t="shared" si="16"/>
        <v>0</v>
      </c>
      <c r="F125" s="68">
        <f>IF($C125="820",$D125,)</f>
        <v>0</v>
      </c>
      <c r="G125" s="68">
        <f t="shared" si="28"/>
        <v>0</v>
      </c>
      <c r="H125" s="68">
        <f>IF($C125="864",$D125,)</f>
        <v>0</v>
      </c>
      <c r="I125" s="68">
        <f>IF($C125="867",$D125,)</f>
        <v>0</v>
      </c>
      <c r="J125" s="68">
        <f>IF($C125="861",$D125,)</f>
        <v>0</v>
      </c>
      <c r="K125" s="68">
        <f>IF($C125="862",$D125,)</f>
        <v>0</v>
      </c>
      <c r="L125" s="68">
        <f>IF($C125="865",$D125,)</f>
        <v>0</v>
      </c>
      <c r="M125" s="68">
        <f>IF($C125="868",$D125,)</f>
        <v>0</v>
      </c>
      <c r="N125" s="68">
        <f>IF($C125="869",$D125,)</f>
        <v>0</v>
      </c>
      <c r="O125" s="68">
        <f>IF($C125="871",$D125,)</f>
        <v>0</v>
      </c>
      <c r="P125" s="68">
        <f>IF($C125="874",$D125,)</f>
        <v>0</v>
      </c>
      <c r="Q125" s="68">
        <f>IF($C125="873",$D125,)</f>
        <v>0</v>
      </c>
      <c r="R125" s="68"/>
      <c r="S125" s="68"/>
      <c r="T125" s="68">
        <f t="shared" si="26"/>
        <v>0</v>
      </c>
      <c r="U125" s="68">
        <f>IF($C125="877",$D125,)</f>
        <v>0</v>
      </c>
      <c r="V125" s="68">
        <f>IF($C125="875",$D125,)</f>
        <v>0</v>
      </c>
      <c r="W125" s="68">
        <f>IF($C125="872",$D125,)</f>
        <v>0</v>
      </c>
      <c r="X125" s="68">
        <f>IF($C125="909",$D125,)</f>
        <v>0</v>
      </c>
      <c r="Y125" s="68">
        <f>IF(OR($C125="932",$C125="934",$C125="949"),$D125,)</f>
        <v>0</v>
      </c>
      <c r="Z125" s="68"/>
      <c r="AA125" s="68">
        <f t="shared" si="17"/>
        <v>0</v>
      </c>
      <c r="AB125" s="68"/>
      <c r="AC125" s="68"/>
      <c r="AD125" s="4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row>
    <row r="126" spans="1:54" ht="12.75" hidden="1" customHeight="1" outlineLevel="1">
      <c r="A126" s="70" t="s">
        <v>431</v>
      </c>
      <c r="B126" s="53" t="s">
        <v>332</v>
      </c>
      <c r="C126" s="66" t="s">
        <v>540</v>
      </c>
      <c r="D126" s="67"/>
      <c r="E126" s="47">
        <f t="shared" si="16"/>
        <v>0</v>
      </c>
      <c r="F126" s="68">
        <f>IF($C126="820",$D126,)</f>
        <v>0</v>
      </c>
      <c r="G126" s="68">
        <f t="shared" si="28"/>
        <v>0</v>
      </c>
      <c r="H126" s="68">
        <f>IF($C126="864",$D126,)</f>
        <v>0</v>
      </c>
      <c r="I126" s="68">
        <f>IF($C126="867",$D126,)</f>
        <v>0</v>
      </c>
      <c r="J126" s="68">
        <f>IF($C126="861",$D126,)</f>
        <v>0</v>
      </c>
      <c r="K126" s="68">
        <f>IF($C126="862",$D126,)</f>
        <v>0</v>
      </c>
      <c r="L126" s="68">
        <f>IF($C126="865",$D126,)</f>
        <v>0</v>
      </c>
      <c r="M126" s="68">
        <f>IF($C126="868",$D126,)</f>
        <v>0</v>
      </c>
      <c r="N126" s="68">
        <f>IF($C126="869",$D126,)</f>
        <v>0</v>
      </c>
      <c r="O126" s="68">
        <f>IF($C126="871",$D126,)</f>
        <v>0</v>
      </c>
      <c r="P126" s="68">
        <f>IF($C126="874",$D126,)</f>
        <v>0</v>
      </c>
      <c r="Q126" s="68">
        <f>IF($C126="873",$D126,)</f>
        <v>0</v>
      </c>
      <c r="R126" s="68"/>
      <c r="S126" s="68"/>
      <c r="T126" s="68">
        <f t="shared" si="26"/>
        <v>0</v>
      </c>
      <c r="U126" s="68">
        <f>IF($C126="877",$D126,)</f>
        <v>0</v>
      </c>
      <c r="V126" s="68">
        <f>IF($C126="875",$D126,)</f>
        <v>0</v>
      </c>
      <c r="W126" s="68">
        <f>IF($C126="872",$D126,)</f>
        <v>0</v>
      </c>
      <c r="X126" s="68">
        <f>IF($C126="909",$D126,)</f>
        <v>0</v>
      </c>
      <c r="Y126" s="68">
        <f>IF(OR($C126="932",$C126="934",$C126="949"),$D126,)</f>
        <v>0</v>
      </c>
      <c r="Z126" s="68"/>
      <c r="AA126" s="68">
        <f t="shared" si="17"/>
        <v>0</v>
      </c>
      <c r="AB126" s="68"/>
      <c r="AC126" s="68"/>
      <c r="AD126" s="4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row>
    <row r="127" spans="1:54" ht="12.75" hidden="1" customHeight="1" outlineLevel="1">
      <c r="A127" s="70" t="s">
        <v>432</v>
      </c>
      <c r="B127" s="53" t="s">
        <v>333</v>
      </c>
      <c r="C127" s="75" t="s">
        <v>540</v>
      </c>
      <c r="D127" s="67"/>
      <c r="E127" s="47">
        <f t="shared" si="16"/>
        <v>0</v>
      </c>
      <c r="F127" s="68">
        <f>IF($C127="820",$D127,)</f>
        <v>0</v>
      </c>
      <c r="G127" s="68">
        <f t="shared" si="28"/>
        <v>0</v>
      </c>
      <c r="H127" s="68">
        <f>IF($C127="864",$D127,)</f>
        <v>0</v>
      </c>
      <c r="I127" s="68">
        <f>IF($C127="867",$D127,)</f>
        <v>0</v>
      </c>
      <c r="J127" s="68">
        <f>IF($C127="861",$D127,)</f>
        <v>0</v>
      </c>
      <c r="K127" s="68">
        <f>IF($C127="862",$D127,)</f>
        <v>0</v>
      </c>
      <c r="L127" s="68">
        <f>IF($C127="865",$D127,)</f>
        <v>0</v>
      </c>
      <c r="M127" s="68">
        <f>IF($C127="868",$D127,)</f>
        <v>0</v>
      </c>
      <c r="N127" s="68">
        <f>IF($C127="869",$D127,)</f>
        <v>0</v>
      </c>
      <c r="O127" s="68">
        <f>IF($C127="871",$D127,)</f>
        <v>0</v>
      </c>
      <c r="P127" s="68">
        <f>IF($C127="874",$D127,)</f>
        <v>0</v>
      </c>
      <c r="Q127" s="68">
        <f>IF($C127="873",$D127,)</f>
        <v>0</v>
      </c>
      <c r="R127" s="68"/>
      <c r="S127" s="68"/>
      <c r="T127" s="68">
        <f t="shared" si="26"/>
        <v>0</v>
      </c>
      <c r="U127" s="68">
        <f>IF($C127="877",$D127,)</f>
        <v>0</v>
      </c>
      <c r="V127" s="68">
        <f>IF($C127="875",$D127,)</f>
        <v>0</v>
      </c>
      <c r="W127" s="68">
        <f>IF($C127="872",$D127,)</f>
        <v>0</v>
      </c>
      <c r="X127" s="68">
        <f>IF($C127="909",$D127,)</f>
        <v>0</v>
      </c>
      <c r="Y127" s="68">
        <f>IF(OR($C127="932",$C127="934",$C127="949"),$D127,)</f>
        <v>0</v>
      </c>
      <c r="Z127" s="68"/>
      <c r="AA127" s="68">
        <f t="shared" si="17"/>
        <v>0</v>
      </c>
      <c r="AB127" s="68"/>
      <c r="AC127" s="68"/>
      <c r="AD127" s="4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row>
    <row r="128" spans="1:54" ht="12.75" hidden="1" customHeight="1" outlineLevel="1">
      <c r="A128" s="70" t="s">
        <v>433</v>
      </c>
      <c r="B128" s="53" t="s">
        <v>334</v>
      </c>
      <c r="C128" s="66" t="s">
        <v>542</v>
      </c>
      <c r="D128" s="67"/>
      <c r="E128" s="47">
        <f t="shared" si="16"/>
        <v>0</v>
      </c>
      <c r="F128" s="68">
        <f>IF($C128="820",$D128,)</f>
        <v>0</v>
      </c>
      <c r="G128" s="68">
        <f t="shared" si="28"/>
        <v>0</v>
      </c>
      <c r="H128" s="68">
        <f>IF($C128="864",$D128,)</f>
        <v>0</v>
      </c>
      <c r="I128" s="68">
        <f>IF($C128="867",$D128,)</f>
        <v>0</v>
      </c>
      <c r="J128" s="68">
        <f>IF($C128="861",$D128,)</f>
        <v>0</v>
      </c>
      <c r="K128" s="68">
        <f>IF($C128="862",$D128,)</f>
        <v>0</v>
      </c>
      <c r="L128" s="68">
        <f>IF($C128="865",$D128,)</f>
        <v>0</v>
      </c>
      <c r="M128" s="68">
        <f>IF($C128="868",$D128,)</f>
        <v>0</v>
      </c>
      <c r="N128" s="68">
        <f>IF($C128="869",$D128,)</f>
        <v>0</v>
      </c>
      <c r="O128" s="68">
        <f>IF($C128="871",$D128,)</f>
        <v>0</v>
      </c>
      <c r="P128" s="68">
        <f>IF($C128="874",$D128,)</f>
        <v>0</v>
      </c>
      <c r="Q128" s="68">
        <f>IF($C128="873",$D128,)</f>
        <v>0</v>
      </c>
      <c r="R128" s="68"/>
      <c r="S128" s="68"/>
      <c r="T128" s="68">
        <f t="shared" si="26"/>
        <v>0</v>
      </c>
      <c r="U128" s="68">
        <f>IF($C128="877",$D128,)</f>
        <v>0</v>
      </c>
      <c r="V128" s="68">
        <f>IF($C128="875",$D128,)</f>
        <v>0</v>
      </c>
      <c r="W128" s="68">
        <f>IF($C128="872",$D128,)</f>
        <v>0</v>
      </c>
      <c r="X128" s="68">
        <f>IF($C128="909",$D128,)</f>
        <v>0</v>
      </c>
      <c r="Y128" s="68">
        <f>IF(OR($C128="932",$C128="934",$C128="949"),$D128,)</f>
        <v>0</v>
      </c>
      <c r="Z128" s="68"/>
      <c r="AA128" s="68">
        <f t="shared" si="17"/>
        <v>0</v>
      </c>
      <c r="AB128" s="68"/>
      <c r="AC128" s="68"/>
      <c r="AD128" s="4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row>
    <row r="129" spans="1:54" collapsed="1">
      <c r="A129" s="72" t="s">
        <v>434</v>
      </c>
      <c r="B129" s="53" t="s">
        <v>335</v>
      </c>
      <c r="C129" s="66"/>
      <c r="D129" s="67"/>
      <c r="E129" s="47">
        <f t="shared" si="16"/>
        <v>0</v>
      </c>
      <c r="F129" s="68">
        <f t="shared" ref="F129:Y129" si="35">F130+F131+F132</f>
        <v>0</v>
      </c>
      <c r="G129" s="68">
        <f t="shared" si="35"/>
        <v>0</v>
      </c>
      <c r="H129" s="68">
        <f t="shared" si="35"/>
        <v>0</v>
      </c>
      <c r="I129" s="68">
        <f t="shared" si="35"/>
        <v>0</v>
      </c>
      <c r="J129" s="68">
        <f t="shared" si="35"/>
        <v>0</v>
      </c>
      <c r="K129" s="68">
        <f t="shared" si="35"/>
        <v>0</v>
      </c>
      <c r="L129" s="68">
        <f t="shared" si="35"/>
        <v>0</v>
      </c>
      <c r="M129" s="68">
        <f t="shared" si="35"/>
        <v>0</v>
      </c>
      <c r="N129" s="68">
        <f t="shared" si="35"/>
        <v>0</v>
      </c>
      <c r="O129" s="68">
        <f t="shared" si="35"/>
        <v>0</v>
      </c>
      <c r="P129" s="68">
        <f t="shared" si="35"/>
        <v>0</v>
      </c>
      <c r="Q129" s="68">
        <f t="shared" si="35"/>
        <v>0</v>
      </c>
      <c r="R129" s="68">
        <f t="shared" si="35"/>
        <v>0</v>
      </c>
      <c r="S129" s="68">
        <f t="shared" si="35"/>
        <v>0</v>
      </c>
      <c r="T129" s="68">
        <f t="shared" si="35"/>
        <v>0</v>
      </c>
      <c r="U129" s="68">
        <f t="shared" si="35"/>
        <v>0</v>
      </c>
      <c r="V129" s="68">
        <f t="shared" si="35"/>
        <v>0</v>
      </c>
      <c r="W129" s="68">
        <f t="shared" si="35"/>
        <v>0</v>
      </c>
      <c r="X129" s="68">
        <f t="shared" si="35"/>
        <v>0</v>
      </c>
      <c r="Y129" s="68">
        <f t="shared" si="35"/>
        <v>0</v>
      </c>
      <c r="Z129" s="68"/>
      <c r="AA129" s="68">
        <f t="shared" si="17"/>
        <v>0</v>
      </c>
      <c r="AB129" s="68"/>
      <c r="AC129" s="68"/>
      <c r="AD129" s="4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row>
    <row r="130" spans="1:54" ht="12.75" hidden="1" customHeight="1" outlineLevel="1">
      <c r="A130" s="70" t="s">
        <v>435</v>
      </c>
      <c r="B130" s="65" t="s">
        <v>336</v>
      </c>
      <c r="C130" s="66" t="s">
        <v>537</v>
      </c>
      <c r="D130" s="67"/>
      <c r="E130" s="47">
        <f t="shared" si="16"/>
        <v>0</v>
      </c>
      <c r="F130" s="68">
        <f>IF($C130="820",$D130,)</f>
        <v>0</v>
      </c>
      <c r="G130" s="68">
        <f t="shared" si="28"/>
        <v>0</v>
      </c>
      <c r="H130" s="68">
        <f>IF($C130="864",$D130,)</f>
        <v>0</v>
      </c>
      <c r="I130" s="68">
        <f>IF($C130="867",$D130,)</f>
        <v>0</v>
      </c>
      <c r="J130" s="68">
        <f>IF($C130="861",$D130,)</f>
        <v>0</v>
      </c>
      <c r="K130" s="68">
        <f>IF($C130="862",$D130,)</f>
        <v>0</v>
      </c>
      <c r="L130" s="68">
        <f>IF($C130="865",$D130,)</f>
        <v>0</v>
      </c>
      <c r="M130" s="68">
        <f>IF($C130="868",$D130,)</f>
        <v>0</v>
      </c>
      <c r="N130" s="68">
        <f>IF($C130="869",$D130,)</f>
        <v>0</v>
      </c>
      <c r="O130" s="68">
        <f>IF($C130="871",$D130,)</f>
        <v>0</v>
      </c>
      <c r="P130" s="68">
        <f>IF($C130="874",$D130,)</f>
        <v>0</v>
      </c>
      <c r="Q130" s="68">
        <f>IF($C130="873",$D130,)</f>
        <v>0</v>
      </c>
      <c r="R130" s="68"/>
      <c r="S130" s="68"/>
      <c r="T130" s="68">
        <f t="shared" si="26"/>
        <v>0</v>
      </c>
      <c r="U130" s="68">
        <f>IF($C130="877",$D130,)</f>
        <v>0</v>
      </c>
      <c r="V130" s="68">
        <f>IF($C130="875",$D130,)</f>
        <v>0</v>
      </c>
      <c r="W130" s="68">
        <f>IF($C130="872",$D130,)</f>
        <v>0</v>
      </c>
      <c r="X130" s="68">
        <f>IF($C130="909",$D130,)</f>
        <v>0</v>
      </c>
      <c r="Y130" s="68">
        <f>IF(OR($C130="932",$C130="934",$C130="949"),$D130,)</f>
        <v>0</v>
      </c>
      <c r="Z130" s="68"/>
      <c r="AA130" s="68">
        <f t="shared" si="17"/>
        <v>0</v>
      </c>
      <c r="AB130" s="68"/>
      <c r="AC130" s="68"/>
      <c r="AD130" s="4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row>
    <row r="131" spans="1:54" ht="12.75" hidden="1" customHeight="1" outlineLevel="1">
      <c r="A131" s="70" t="s">
        <v>436</v>
      </c>
      <c r="B131" s="53" t="s">
        <v>337</v>
      </c>
      <c r="C131" s="66" t="s">
        <v>543</v>
      </c>
      <c r="D131" s="67"/>
      <c r="E131" s="47">
        <f t="shared" si="16"/>
        <v>0</v>
      </c>
      <c r="F131" s="68">
        <f>IF($C131="820",$D131,)</f>
        <v>0</v>
      </c>
      <c r="G131" s="68">
        <f t="shared" si="28"/>
        <v>0</v>
      </c>
      <c r="H131" s="68">
        <f>IF($C131="864",$D131,)</f>
        <v>0</v>
      </c>
      <c r="I131" s="68">
        <f>IF($C131="867",$D131,)</f>
        <v>0</v>
      </c>
      <c r="J131" s="68">
        <f>IF($C131="861",$D131,)</f>
        <v>0</v>
      </c>
      <c r="K131" s="68">
        <f>IF($C131="862",$D131,)</f>
        <v>0</v>
      </c>
      <c r="L131" s="68">
        <f>IF($C131="865",$D131,)</f>
        <v>0</v>
      </c>
      <c r="M131" s="68">
        <f>IF($C131="868",$D131,)</f>
        <v>0</v>
      </c>
      <c r="N131" s="68">
        <f>IF($C131="869",$D131,)</f>
        <v>0</v>
      </c>
      <c r="O131" s="68">
        <f>IF($C131="871",$D131,)</f>
        <v>0</v>
      </c>
      <c r="P131" s="68">
        <f>IF($C131="874",$D131,)</f>
        <v>0</v>
      </c>
      <c r="Q131" s="68">
        <f>IF($C131="873",$D131,)</f>
        <v>0</v>
      </c>
      <c r="R131" s="68"/>
      <c r="S131" s="68"/>
      <c r="T131" s="68">
        <f t="shared" si="26"/>
        <v>0</v>
      </c>
      <c r="U131" s="68">
        <f>IF($C131="877",$D131,)</f>
        <v>0</v>
      </c>
      <c r="V131" s="68">
        <f>IF($C131="875",$D131,)</f>
        <v>0</v>
      </c>
      <c r="W131" s="68">
        <f>IF($C131="872",$D131,)</f>
        <v>0</v>
      </c>
      <c r="X131" s="68">
        <f>IF($C131="909",$D131,)</f>
        <v>0</v>
      </c>
      <c r="Y131" s="68">
        <f>IF(OR($C131="932",$C131="934",$C131="949"),$D131,)</f>
        <v>0</v>
      </c>
      <c r="Z131" s="68"/>
      <c r="AA131" s="68">
        <f t="shared" si="17"/>
        <v>0</v>
      </c>
      <c r="AB131" s="68"/>
      <c r="AC131" s="68"/>
      <c r="AD131" s="4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row>
    <row r="132" spans="1:54" ht="12.75" hidden="1" customHeight="1" outlineLevel="1">
      <c r="A132" s="70" t="s">
        <v>437</v>
      </c>
      <c r="B132" s="53" t="s">
        <v>338</v>
      </c>
      <c r="C132" s="66" t="s">
        <v>544</v>
      </c>
      <c r="D132" s="67"/>
      <c r="E132" s="47">
        <f t="shared" si="16"/>
        <v>0</v>
      </c>
      <c r="F132" s="68">
        <f>IF($C132="820",$D132,)</f>
        <v>0</v>
      </c>
      <c r="G132" s="68">
        <f t="shared" si="28"/>
        <v>0</v>
      </c>
      <c r="H132" s="68">
        <f>IF($C132="864",$D132,)</f>
        <v>0</v>
      </c>
      <c r="I132" s="68">
        <f>IF($C132="867",$D132,)</f>
        <v>0</v>
      </c>
      <c r="J132" s="68">
        <f>IF($C132="861",$D132,)</f>
        <v>0</v>
      </c>
      <c r="K132" s="68">
        <f>IF($C132="862",$D132,)</f>
        <v>0</v>
      </c>
      <c r="L132" s="68">
        <f>IF($C132="865",$D132,)</f>
        <v>0</v>
      </c>
      <c r="M132" s="68">
        <f>IF($C132="868",$D132,)</f>
        <v>0</v>
      </c>
      <c r="N132" s="68">
        <f>IF($C132="869",$D132,)</f>
        <v>0</v>
      </c>
      <c r="O132" s="68">
        <f>IF($C132="871",$D132,)</f>
        <v>0</v>
      </c>
      <c r="P132" s="68">
        <f>IF($C132="874",$D132,)</f>
        <v>0</v>
      </c>
      <c r="Q132" s="68">
        <f>IF($C132="873",$D132,)</f>
        <v>0</v>
      </c>
      <c r="R132" s="68"/>
      <c r="S132" s="68"/>
      <c r="T132" s="68">
        <f t="shared" si="26"/>
        <v>0</v>
      </c>
      <c r="U132" s="68">
        <f>IF($C132="877",$D132,)</f>
        <v>0</v>
      </c>
      <c r="V132" s="68">
        <f>IF($C132="875",$D132,)</f>
        <v>0</v>
      </c>
      <c r="W132" s="68">
        <f>IF($C132="872",$D132,)</f>
        <v>0</v>
      </c>
      <c r="X132" s="68">
        <f>IF($C132="909",$D132,)</f>
        <v>0</v>
      </c>
      <c r="Y132" s="68">
        <f>IF(OR($C132="932",$C132="934",$C132="949"),$D132,)</f>
        <v>0</v>
      </c>
      <c r="Z132" s="68"/>
      <c r="AA132" s="68">
        <f t="shared" si="17"/>
        <v>0</v>
      </c>
      <c r="AB132" s="68"/>
      <c r="AC132" s="68"/>
      <c r="AD132" s="4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row>
    <row r="133" spans="1:54" collapsed="1">
      <c r="A133" s="72" t="s">
        <v>438</v>
      </c>
      <c r="B133" s="53" t="s">
        <v>339</v>
      </c>
      <c r="C133" s="66"/>
      <c r="D133" s="67"/>
      <c r="E133" s="47">
        <f t="shared" si="16"/>
        <v>0</v>
      </c>
      <c r="F133" s="68">
        <f t="shared" ref="F133:Y133" si="36">F134+F135+F136</f>
        <v>0</v>
      </c>
      <c r="G133" s="68">
        <f t="shared" si="36"/>
        <v>0</v>
      </c>
      <c r="H133" s="68">
        <f t="shared" si="36"/>
        <v>0</v>
      </c>
      <c r="I133" s="68">
        <f t="shared" si="36"/>
        <v>0</v>
      </c>
      <c r="J133" s="68">
        <f t="shared" si="36"/>
        <v>0</v>
      </c>
      <c r="K133" s="68">
        <f t="shared" si="36"/>
        <v>0</v>
      </c>
      <c r="L133" s="68">
        <f t="shared" si="36"/>
        <v>0</v>
      </c>
      <c r="M133" s="68">
        <f t="shared" si="36"/>
        <v>0</v>
      </c>
      <c r="N133" s="68">
        <f t="shared" si="36"/>
        <v>0</v>
      </c>
      <c r="O133" s="68">
        <f t="shared" si="36"/>
        <v>0</v>
      </c>
      <c r="P133" s="68">
        <f t="shared" si="36"/>
        <v>0</v>
      </c>
      <c r="Q133" s="68">
        <f t="shared" si="36"/>
        <v>0</v>
      </c>
      <c r="R133" s="68">
        <f t="shared" si="36"/>
        <v>0</v>
      </c>
      <c r="S133" s="68">
        <f t="shared" si="36"/>
        <v>0</v>
      </c>
      <c r="T133" s="68">
        <f t="shared" si="36"/>
        <v>0</v>
      </c>
      <c r="U133" s="68">
        <f t="shared" si="36"/>
        <v>0</v>
      </c>
      <c r="V133" s="68">
        <f t="shared" si="36"/>
        <v>0</v>
      </c>
      <c r="W133" s="68">
        <f t="shared" si="36"/>
        <v>0</v>
      </c>
      <c r="X133" s="68">
        <f t="shared" si="36"/>
        <v>0</v>
      </c>
      <c r="Y133" s="68">
        <f t="shared" si="36"/>
        <v>0</v>
      </c>
      <c r="Z133" s="68"/>
      <c r="AA133" s="68">
        <f t="shared" si="17"/>
        <v>0</v>
      </c>
      <c r="AB133" s="68"/>
      <c r="AC133" s="68"/>
      <c r="AD133" s="4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row>
    <row r="134" spans="1:54" ht="12.75" hidden="1" customHeight="1" outlineLevel="1">
      <c r="A134" s="70" t="s">
        <v>439</v>
      </c>
      <c r="B134" s="65" t="s">
        <v>313</v>
      </c>
      <c r="C134" s="66" t="s">
        <v>537</v>
      </c>
      <c r="D134" s="67"/>
      <c r="E134" s="47">
        <f t="shared" si="16"/>
        <v>0</v>
      </c>
      <c r="F134" s="68">
        <f>IF($C134="820",$D134,)</f>
        <v>0</v>
      </c>
      <c r="G134" s="68">
        <f t="shared" si="28"/>
        <v>0</v>
      </c>
      <c r="H134" s="68">
        <f>IF($C134="864",$D134,)</f>
        <v>0</v>
      </c>
      <c r="I134" s="68">
        <f>IF($C134="867",$D134,)</f>
        <v>0</v>
      </c>
      <c r="J134" s="68">
        <f>IF($C134="861",$D134,)</f>
        <v>0</v>
      </c>
      <c r="K134" s="68">
        <f>IF($C134="862",$D134,)</f>
        <v>0</v>
      </c>
      <c r="L134" s="68">
        <f>IF($C134="865",$D134,)</f>
        <v>0</v>
      </c>
      <c r="M134" s="68">
        <f>IF($C134="868",$D134,)</f>
        <v>0</v>
      </c>
      <c r="N134" s="68">
        <f>IF($C134="869",$D134,)</f>
        <v>0</v>
      </c>
      <c r="O134" s="68">
        <f>IF($C134="871",$D134,)</f>
        <v>0</v>
      </c>
      <c r="P134" s="68">
        <f>IF($C134="874",$D134,)</f>
        <v>0</v>
      </c>
      <c r="Q134" s="68">
        <f>IF($C134="873",$D134,)</f>
        <v>0</v>
      </c>
      <c r="R134" s="68"/>
      <c r="S134" s="68"/>
      <c r="T134" s="68">
        <f t="shared" si="26"/>
        <v>0</v>
      </c>
      <c r="U134" s="68">
        <f>IF($C134="877",$D134,)</f>
        <v>0</v>
      </c>
      <c r="V134" s="68">
        <f>IF($C134="875",$D134,)</f>
        <v>0</v>
      </c>
      <c r="W134" s="68">
        <f>IF($C134="872",$D134,)</f>
        <v>0</v>
      </c>
      <c r="X134" s="68">
        <f>IF($C134="909",$D134,)</f>
        <v>0</v>
      </c>
      <c r="Y134" s="68">
        <f>IF(OR($C134="932",$C134="934",$C134="949"),$D134,)</f>
        <v>0</v>
      </c>
      <c r="Z134" s="68"/>
      <c r="AA134" s="68">
        <f t="shared" si="17"/>
        <v>0</v>
      </c>
      <c r="AB134" s="68"/>
      <c r="AC134" s="68"/>
      <c r="AD134" s="4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row>
    <row r="135" spans="1:54" ht="12.75" hidden="1" customHeight="1" outlineLevel="1">
      <c r="A135" s="74" t="s">
        <v>440</v>
      </c>
      <c r="B135" s="53" t="s">
        <v>340</v>
      </c>
      <c r="C135" s="66" t="s">
        <v>542</v>
      </c>
      <c r="D135" s="67"/>
      <c r="E135" s="47">
        <f t="shared" si="16"/>
        <v>0</v>
      </c>
      <c r="F135" s="68">
        <f>IF($C135="820",$D135,)</f>
        <v>0</v>
      </c>
      <c r="G135" s="68">
        <f t="shared" si="28"/>
        <v>0</v>
      </c>
      <c r="H135" s="68">
        <f>IF($C135="864",$D135,)</f>
        <v>0</v>
      </c>
      <c r="I135" s="68">
        <f>IF($C135="867",$D135,)</f>
        <v>0</v>
      </c>
      <c r="J135" s="68">
        <f>IF($C135="861",$D135,)</f>
        <v>0</v>
      </c>
      <c r="K135" s="68">
        <f>IF($C135="862",$D135,)</f>
        <v>0</v>
      </c>
      <c r="L135" s="68">
        <f>IF($C135="865",$D135,)</f>
        <v>0</v>
      </c>
      <c r="M135" s="68">
        <f>IF($C135="868",$D135,)</f>
        <v>0</v>
      </c>
      <c r="N135" s="68">
        <f>IF($C135="869",$D135,)</f>
        <v>0</v>
      </c>
      <c r="O135" s="68">
        <f>IF($C135="871",$D135,)</f>
        <v>0</v>
      </c>
      <c r="P135" s="68">
        <f>IF($C135="874",$D135,)</f>
        <v>0</v>
      </c>
      <c r="Q135" s="68">
        <f>IF($C135="873",$D135,)</f>
        <v>0</v>
      </c>
      <c r="R135" s="68"/>
      <c r="S135" s="68"/>
      <c r="T135" s="68">
        <f t="shared" si="26"/>
        <v>0</v>
      </c>
      <c r="U135" s="68">
        <f>IF($C135="877",$D135,)</f>
        <v>0</v>
      </c>
      <c r="V135" s="68">
        <f>IF($C135="875",$D135,)</f>
        <v>0</v>
      </c>
      <c r="W135" s="68">
        <f>IF($C135="872",$D135,)</f>
        <v>0</v>
      </c>
      <c r="X135" s="68">
        <f>IF($C135="909",$D135,)</f>
        <v>0</v>
      </c>
      <c r="Y135" s="68">
        <f>IF(OR($C135="932",$C135="934",$C135="949"),$D135,)</f>
        <v>0</v>
      </c>
      <c r="Z135" s="68"/>
      <c r="AA135" s="68">
        <f t="shared" si="17"/>
        <v>0</v>
      </c>
      <c r="AB135" s="68"/>
      <c r="AC135" s="68"/>
      <c r="AD135" s="4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row>
    <row r="136" spans="1:54" ht="12.75" hidden="1" customHeight="1" outlineLevel="1">
      <c r="A136" s="72" t="s">
        <v>441</v>
      </c>
      <c r="B136" s="65" t="s">
        <v>341</v>
      </c>
      <c r="C136" s="66" t="s">
        <v>541</v>
      </c>
      <c r="D136" s="67"/>
      <c r="E136" s="47">
        <f t="shared" si="16"/>
        <v>0</v>
      </c>
      <c r="F136" s="68">
        <f>IF($C136="820",$D136,)</f>
        <v>0</v>
      </c>
      <c r="G136" s="68">
        <f t="shared" si="28"/>
        <v>0</v>
      </c>
      <c r="H136" s="68">
        <f>IF($C136="864",$D136,)</f>
        <v>0</v>
      </c>
      <c r="I136" s="68">
        <f>IF($C136="867",$D136,)</f>
        <v>0</v>
      </c>
      <c r="J136" s="68">
        <f>IF($C136="861",$D136,)</f>
        <v>0</v>
      </c>
      <c r="K136" s="68">
        <f>IF($C136="862",$D136,)</f>
        <v>0</v>
      </c>
      <c r="L136" s="68">
        <f>IF($C136="865",$D136,)</f>
        <v>0</v>
      </c>
      <c r="M136" s="68">
        <f>IF($C136="868",$D136,)</f>
        <v>0</v>
      </c>
      <c r="N136" s="68">
        <f>IF($C136="869",$D136,)</f>
        <v>0</v>
      </c>
      <c r="O136" s="68">
        <f>IF($C136="871",$D136,)</f>
        <v>0</v>
      </c>
      <c r="P136" s="68">
        <f>IF($C136="874",$D136,)</f>
        <v>0</v>
      </c>
      <c r="Q136" s="68">
        <f>IF($C136="873",$D136,)</f>
        <v>0</v>
      </c>
      <c r="R136" s="68"/>
      <c r="S136" s="68"/>
      <c r="T136" s="68">
        <f t="shared" si="26"/>
        <v>0</v>
      </c>
      <c r="U136" s="68">
        <f>IF($C136="877",$D136,)</f>
        <v>0</v>
      </c>
      <c r="V136" s="68">
        <f>IF($C136="875",$D136,)</f>
        <v>0</v>
      </c>
      <c r="W136" s="68">
        <f>IF($C136="872",$D136,)</f>
        <v>0</v>
      </c>
      <c r="X136" s="68">
        <f>IF($C136="909",$D136,)</f>
        <v>0</v>
      </c>
      <c r="Y136" s="68">
        <f>IF(OR($C136="932",$C136="934",$C136="949"),$D136,)</f>
        <v>0</v>
      </c>
      <c r="Z136" s="68"/>
      <c r="AA136" s="68">
        <f t="shared" si="17"/>
        <v>0</v>
      </c>
      <c r="AB136" s="68"/>
      <c r="AC136" s="68"/>
      <c r="AD136" s="4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row>
    <row r="137" spans="1:54" collapsed="1">
      <c r="A137" s="70" t="s">
        <v>442</v>
      </c>
      <c r="B137" s="53" t="s">
        <v>342</v>
      </c>
      <c r="C137" s="66"/>
      <c r="D137" s="67"/>
      <c r="E137" s="47">
        <f t="shared" si="16"/>
        <v>0</v>
      </c>
      <c r="F137" s="68">
        <f t="shared" ref="F137:Y137" si="37">F138+F139</f>
        <v>0</v>
      </c>
      <c r="G137" s="68">
        <f t="shared" si="37"/>
        <v>0</v>
      </c>
      <c r="H137" s="68">
        <f t="shared" si="37"/>
        <v>0</v>
      </c>
      <c r="I137" s="68">
        <f t="shared" si="37"/>
        <v>0</v>
      </c>
      <c r="J137" s="68">
        <f t="shared" si="37"/>
        <v>0</v>
      </c>
      <c r="K137" s="68">
        <f t="shared" si="37"/>
        <v>0</v>
      </c>
      <c r="L137" s="68">
        <f t="shared" si="37"/>
        <v>0</v>
      </c>
      <c r="M137" s="68">
        <f t="shared" si="37"/>
        <v>0</v>
      </c>
      <c r="N137" s="68">
        <f t="shared" si="37"/>
        <v>0</v>
      </c>
      <c r="O137" s="68">
        <f t="shared" si="37"/>
        <v>0</v>
      </c>
      <c r="P137" s="68">
        <f t="shared" si="37"/>
        <v>0</v>
      </c>
      <c r="Q137" s="68">
        <f t="shared" si="37"/>
        <v>0</v>
      </c>
      <c r="R137" s="68">
        <f t="shared" si="37"/>
        <v>0</v>
      </c>
      <c r="S137" s="68">
        <f t="shared" si="37"/>
        <v>0</v>
      </c>
      <c r="T137" s="68">
        <f t="shared" si="37"/>
        <v>0</v>
      </c>
      <c r="U137" s="68">
        <f t="shared" si="37"/>
        <v>0</v>
      </c>
      <c r="V137" s="68">
        <f t="shared" si="37"/>
        <v>0</v>
      </c>
      <c r="W137" s="68">
        <f t="shared" si="37"/>
        <v>0</v>
      </c>
      <c r="X137" s="68">
        <f t="shared" si="37"/>
        <v>0</v>
      </c>
      <c r="Y137" s="68">
        <f t="shared" si="37"/>
        <v>0</v>
      </c>
      <c r="Z137" s="68"/>
      <c r="AA137" s="68">
        <f t="shared" si="17"/>
        <v>0</v>
      </c>
      <c r="AB137" s="68"/>
      <c r="AC137" s="68"/>
      <c r="AD137" s="4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row>
    <row r="138" spans="1:54" ht="12.75" hidden="1" customHeight="1" outlineLevel="1">
      <c r="A138" s="69" t="s">
        <v>268</v>
      </c>
      <c r="B138" s="65" t="s">
        <v>343</v>
      </c>
      <c r="C138" s="66" t="s">
        <v>537</v>
      </c>
      <c r="D138" s="67"/>
      <c r="E138" s="47">
        <f t="shared" si="16"/>
        <v>0</v>
      </c>
      <c r="F138" s="68">
        <f>IF($C138="820",$D138,)</f>
        <v>0</v>
      </c>
      <c r="G138" s="68">
        <f t="shared" si="28"/>
        <v>0</v>
      </c>
      <c r="H138" s="68">
        <f>IF($C138="864",$D138,)</f>
        <v>0</v>
      </c>
      <c r="I138" s="68">
        <f>IF($C138="867",$D138,)</f>
        <v>0</v>
      </c>
      <c r="J138" s="68">
        <f>IF($C138="861",$D138,)</f>
        <v>0</v>
      </c>
      <c r="K138" s="68">
        <f>IF($C138="862",$D138,)</f>
        <v>0</v>
      </c>
      <c r="L138" s="68">
        <f>IF($C138="865",$D138,)</f>
        <v>0</v>
      </c>
      <c r="M138" s="68">
        <f>IF($C138="868",$D138,)</f>
        <v>0</v>
      </c>
      <c r="N138" s="68">
        <f>IF($C138="869",$D138,)</f>
        <v>0</v>
      </c>
      <c r="O138" s="68">
        <f>IF($C138="871",$D138,)</f>
        <v>0</v>
      </c>
      <c r="P138" s="68">
        <f>IF($C138="874",$D138,)</f>
        <v>0</v>
      </c>
      <c r="Q138" s="68">
        <f>IF($C138="873",$D138,)</f>
        <v>0</v>
      </c>
      <c r="R138" s="68"/>
      <c r="S138" s="68"/>
      <c r="T138" s="68">
        <f t="shared" si="26"/>
        <v>0</v>
      </c>
      <c r="U138" s="68">
        <f>IF($C138="877",$D138,)</f>
        <v>0</v>
      </c>
      <c r="V138" s="68">
        <f>IF($C138="875",$D138,)</f>
        <v>0</v>
      </c>
      <c r="W138" s="68">
        <f>IF($C138="872",$D138,)</f>
        <v>0</v>
      </c>
      <c r="X138" s="68">
        <f>IF($C138="909",$D138,)</f>
        <v>0</v>
      </c>
      <c r="Y138" s="68">
        <f>IF(OR($C138="932",$C138="934",$C138="949"),$D138,)</f>
        <v>0</v>
      </c>
      <c r="Z138" s="68"/>
      <c r="AA138" s="68">
        <f t="shared" si="17"/>
        <v>0</v>
      </c>
      <c r="AB138" s="68"/>
      <c r="AC138" s="68"/>
      <c r="AD138" s="4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row>
    <row r="139" spans="1:54" ht="12.75" hidden="1" customHeight="1" outlineLevel="1">
      <c r="A139" s="69" t="s">
        <v>269</v>
      </c>
      <c r="B139" s="53" t="s">
        <v>344</v>
      </c>
      <c r="C139" s="66" t="s">
        <v>542</v>
      </c>
      <c r="D139" s="67"/>
      <c r="E139" s="47">
        <f t="shared" si="16"/>
        <v>0</v>
      </c>
      <c r="F139" s="68">
        <f>IF($C139="820",$D139,)</f>
        <v>0</v>
      </c>
      <c r="G139" s="68">
        <f t="shared" si="28"/>
        <v>0</v>
      </c>
      <c r="H139" s="68">
        <f>IF($C139="864",$D139,)</f>
        <v>0</v>
      </c>
      <c r="I139" s="68">
        <f>IF($C139="867",$D139,)</f>
        <v>0</v>
      </c>
      <c r="J139" s="68">
        <f>IF($C139="861",$D139,)</f>
        <v>0</v>
      </c>
      <c r="K139" s="68">
        <f>IF($C139="862",$D139,)</f>
        <v>0</v>
      </c>
      <c r="L139" s="68">
        <f>IF($C139="865",$D139,)</f>
        <v>0</v>
      </c>
      <c r="M139" s="68">
        <f>IF($C139="868",$D139,)</f>
        <v>0</v>
      </c>
      <c r="N139" s="68">
        <f>IF($C139="869",$D139,)</f>
        <v>0</v>
      </c>
      <c r="O139" s="68">
        <f>IF($C139="871",$D139,)</f>
        <v>0</v>
      </c>
      <c r="P139" s="68">
        <f>IF($C139="874",$D139,)</f>
        <v>0</v>
      </c>
      <c r="Q139" s="68">
        <f>IF($C139="873",$D139,)</f>
        <v>0</v>
      </c>
      <c r="R139" s="68"/>
      <c r="S139" s="68"/>
      <c r="T139" s="68">
        <f t="shared" si="26"/>
        <v>0</v>
      </c>
      <c r="U139" s="68">
        <f>IF($C139="877",$D139,)</f>
        <v>0</v>
      </c>
      <c r="V139" s="68">
        <f>IF($C139="875",$D139,)</f>
        <v>0</v>
      </c>
      <c r="W139" s="68">
        <f>IF($C139="872",$D139,)</f>
        <v>0</v>
      </c>
      <c r="X139" s="68">
        <f>IF($C139="909",$D139,)</f>
        <v>0</v>
      </c>
      <c r="Y139" s="68">
        <f>IF(OR($C139="932",$C139="934",$C139="949"),$D139,)</f>
        <v>0</v>
      </c>
      <c r="Z139" s="68"/>
      <c r="AA139" s="68">
        <f t="shared" si="17"/>
        <v>0</v>
      </c>
      <c r="AB139" s="68"/>
      <c r="AC139" s="68"/>
      <c r="AD139" s="4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row>
    <row r="140" spans="1:54" ht="25.5" collapsed="1">
      <c r="A140" s="72" t="s">
        <v>443</v>
      </c>
      <c r="B140" s="53" t="s">
        <v>345</v>
      </c>
      <c r="C140" s="66"/>
      <c r="D140" s="67"/>
      <c r="E140" s="47">
        <f t="shared" si="16"/>
        <v>0</v>
      </c>
      <c r="F140" s="68">
        <f t="shared" ref="F140:Y140" si="38">F141+F142+F143</f>
        <v>0</v>
      </c>
      <c r="G140" s="68">
        <f t="shared" si="38"/>
        <v>0</v>
      </c>
      <c r="H140" s="68">
        <f t="shared" si="38"/>
        <v>0</v>
      </c>
      <c r="I140" s="68">
        <f t="shared" si="38"/>
        <v>0</v>
      </c>
      <c r="J140" s="68">
        <f t="shared" si="38"/>
        <v>0</v>
      </c>
      <c r="K140" s="68">
        <f t="shared" si="38"/>
        <v>0</v>
      </c>
      <c r="L140" s="68">
        <f t="shared" si="38"/>
        <v>0</v>
      </c>
      <c r="M140" s="68">
        <f t="shared" si="38"/>
        <v>0</v>
      </c>
      <c r="N140" s="68">
        <f t="shared" si="38"/>
        <v>0</v>
      </c>
      <c r="O140" s="68">
        <f t="shared" si="38"/>
        <v>0</v>
      </c>
      <c r="P140" s="68">
        <f t="shared" si="38"/>
        <v>0</v>
      </c>
      <c r="Q140" s="68">
        <f t="shared" si="38"/>
        <v>0</v>
      </c>
      <c r="R140" s="68">
        <f t="shared" si="38"/>
        <v>0</v>
      </c>
      <c r="S140" s="68">
        <f t="shared" si="38"/>
        <v>0</v>
      </c>
      <c r="T140" s="68">
        <f t="shared" si="38"/>
        <v>0</v>
      </c>
      <c r="U140" s="68">
        <f t="shared" si="38"/>
        <v>0</v>
      </c>
      <c r="V140" s="68">
        <f t="shared" si="38"/>
        <v>0</v>
      </c>
      <c r="W140" s="68">
        <f t="shared" si="38"/>
        <v>0</v>
      </c>
      <c r="X140" s="68">
        <f t="shared" si="38"/>
        <v>0</v>
      </c>
      <c r="Y140" s="68">
        <f t="shared" si="38"/>
        <v>0</v>
      </c>
      <c r="Z140" s="68"/>
      <c r="AA140" s="68">
        <f t="shared" si="17"/>
        <v>0</v>
      </c>
      <c r="AB140" s="68"/>
      <c r="AC140" s="68"/>
      <c r="AD140" s="4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row>
    <row r="141" spans="1:54" ht="12.75" hidden="1" customHeight="1" outlineLevel="1">
      <c r="A141" s="69" t="s">
        <v>268</v>
      </c>
      <c r="B141" s="65" t="s">
        <v>313</v>
      </c>
      <c r="C141" s="66" t="s">
        <v>537</v>
      </c>
      <c r="D141" s="67"/>
      <c r="E141" s="47">
        <f t="shared" si="16"/>
        <v>0</v>
      </c>
      <c r="F141" s="68">
        <f>IF($C141="820",$D141,)</f>
        <v>0</v>
      </c>
      <c r="G141" s="68">
        <f t="shared" si="28"/>
        <v>0</v>
      </c>
      <c r="H141" s="68">
        <f>IF($C141="864",$D141,)</f>
        <v>0</v>
      </c>
      <c r="I141" s="68">
        <f>IF($C141="867",$D141,)</f>
        <v>0</v>
      </c>
      <c r="J141" s="68">
        <f>IF($C141="861",$D141,)</f>
        <v>0</v>
      </c>
      <c r="K141" s="68">
        <f>IF($C141="862",$D141,)</f>
        <v>0</v>
      </c>
      <c r="L141" s="68">
        <f>IF($C141="865",$D141,)</f>
        <v>0</v>
      </c>
      <c r="M141" s="68">
        <f>IF($C141="868",$D141,)</f>
        <v>0</v>
      </c>
      <c r="N141" s="68">
        <f>IF($C141="869",$D141,)</f>
        <v>0</v>
      </c>
      <c r="O141" s="68">
        <f>IF($C141="871",$D141,)</f>
        <v>0</v>
      </c>
      <c r="P141" s="68">
        <f>IF($C141="874",$D141,)</f>
        <v>0</v>
      </c>
      <c r="Q141" s="68">
        <f>IF($C141="873",$D141,)</f>
        <v>0</v>
      </c>
      <c r="R141" s="68"/>
      <c r="S141" s="68"/>
      <c r="T141" s="68">
        <f t="shared" si="26"/>
        <v>0</v>
      </c>
      <c r="U141" s="68">
        <f>IF($C141="877",$D141,)</f>
        <v>0</v>
      </c>
      <c r="V141" s="68">
        <f>IF($C141="875",$D141,)</f>
        <v>0</v>
      </c>
      <c r="W141" s="68">
        <f>IF($C141="872",$D141,)</f>
        <v>0</v>
      </c>
      <c r="X141" s="68">
        <f>IF($C141="909",$D141,)</f>
        <v>0</v>
      </c>
      <c r="Y141" s="68">
        <f>IF(OR($C141="932",$C141="934",$C141="949"),$D141,)</f>
        <v>0</v>
      </c>
      <c r="Z141" s="68"/>
      <c r="AA141" s="68">
        <f t="shared" si="17"/>
        <v>0</v>
      </c>
      <c r="AB141" s="68"/>
      <c r="AC141" s="68"/>
      <c r="AD141" s="4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row>
    <row r="142" spans="1:54" ht="12.75" hidden="1" customHeight="1" outlineLevel="1">
      <c r="A142" s="69" t="s">
        <v>269</v>
      </c>
      <c r="B142" s="53" t="s">
        <v>337</v>
      </c>
      <c r="C142" s="66" t="s">
        <v>543</v>
      </c>
      <c r="D142" s="67"/>
      <c r="E142" s="47">
        <f t="shared" ref="E142:E205" si="39">F142+G142+Y142+Z142+AA142</f>
        <v>0</v>
      </c>
      <c r="F142" s="68">
        <f>IF($C142="820",$D142,)</f>
        <v>0</v>
      </c>
      <c r="G142" s="68">
        <f t="shared" si="28"/>
        <v>0</v>
      </c>
      <c r="H142" s="68">
        <f>IF($C142="864",$D142,)</f>
        <v>0</v>
      </c>
      <c r="I142" s="68">
        <f>IF($C142="867",$D142,)</f>
        <v>0</v>
      </c>
      <c r="J142" s="68">
        <f>IF($C142="861",$D142,)</f>
        <v>0</v>
      </c>
      <c r="K142" s="68">
        <f>IF($C142="862",$D142,)</f>
        <v>0</v>
      </c>
      <c r="L142" s="68">
        <f>IF($C142="865",$D142,)</f>
        <v>0</v>
      </c>
      <c r="M142" s="68">
        <f>IF($C142="868",$D142,)</f>
        <v>0</v>
      </c>
      <c r="N142" s="68">
        <f>IF($C142="869",$D142,)</f>
        <v>0</v>
      </c>
      <c r="O142" s="68">
        <f>IF($C142="871",$D142,)</f>
        <v>0</v>
      </c>
      <c r="P142" s="68">
        <f>IF($C142="874",$D142,)</f>
        <v>0</v>
      </c>
      <c r="Q142" s="68">
        <f>IF($C142="873",$D142,)</f>
        <v>0</v>
      </c>
      <c r="R142" s="68"/>
      <c r="S142" s="68"/>
      <c r="T142" s="68">
        <f t="shared" si="26"/>
        <v>0</v>
      </c>
      <c r="U142" s="68">
        <f>IF($C142="877",$D142,)</f>
        <v>0</v>
      </c>
      <c r="V142" s="68">
        <f>IF($C142="875",$D142,)</f>
        <v>0</v>
      </c>
      <c r="W142" s="68">
        <f>IF($C142="872",$D142,)</f>
        <v>0</v>
      </c>
      <c r="X142" s="68">
        <f>IF($C142="909",$D142,)</f>
        <v>0</v>
      </c>
      <c r="Y142" s="68">
        <f>IF(OR($C142="932",$C142="934",$C142="949"),$D142,)</f>
        <v>0</v>
      </c>
      <c r="Z142" s="68"/>
      <c r="AA142" s="68">
        <f t="shared" si="17"/>
        <v>0</v>
      </c>
      <c r="AB142" s="68"/>
      <c r="AC142" s="68"/>
      <c r="AD142" s="4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row>
    <row r="143" spans="1:54" ht="12.75" hidden="1" customHeight="1" outlineLevel="1">
      <c r="A143" s="69" t="s">
        <v>270</v>
      </c>
      <c r="B143" s="53" t="s">
        <v>324</v>
      </c>
      <c r="C143" s="66" t="s">
        <v>538</v>
      </c>
      <c r="D143" s="67"/>
      <c r="E143" s="47">
        <f t="shared" si="39"/>
        <v>0</v>
      </c>
      <c r="F143" s="68">
        <f>IF($C143="820",$D143,)</f>
        <v>0</v>
      </c>
      <c r="G143" s="68">
        <f t="shared" si="28"/>
        <v>0</v>
      </c>
      <c r="H143" s="68">
        <f>IF($C143="864",$D143,)</f>
        <v>0</v>
      </c>
      <c r="I143" s="68">
        <f>IF($C143="867",$D143,)</f>
        <v>0</v>
      </c>
      <c r="J143" s="68">
        <f>IF($C143="861",$D143,)</f>
        <v>0</v>
      </c>
      <c r="K143" s="68">
        <f>IF($C143="862",$D143,)</f>
        <v>0</v>
      </c>
      <c r="L143" s="68">
        <f>IF($C143="865",$D143,)</f>
        <v>0</v>
      </c>
      <c r="M143" s="68">
        <f>IF($C143="868",$D143,)</f>
        <v>0</v>
      </c>
      <c r="N143" s="68">
        <f>IF($C143="869",$D143,)</f>
        <v>0</v>
      </c>
      <c r="O143" s="68">
        <f>IF($C143="871",$D143,)</f>
        <v>0</v>
      </c>
      <c r="P143" s="68">
        <f>IF($C143="874",$D143,)</f>
        <v>0</v>
      </c>
      <c r="Q143" s="68">
        <f>IF($C143="873",$D143,)</f>
        <v>0</v>
      </c>
      <c r="R143" s="68"/>
      <c r="S143" s="68"/>
      <c r="T143" s="68">
        <f t="shared" si="26"/>
        <v>0</v>
      </c>
      <c r="U143" s="68">
        <f>IF($C143="877",$D143,)</f>
        <v>0</v>
      </c>
      <c r="V143" s="68">
        <f>IF($C143="875",$D143,)</f>
        <v>0</v>
      </c>
      <c r="W143" s="68">
        <f>IF($C143="872",$D143,)</f>
        <v>0</v>
      </c>
      <c r="X143" s="68">
        <f>IF($C143="909",$D143,)</f>
        <v>0</v>
      </c>
      <c r="Y143" s="68">
        <f>IF(OR($C143="932",$C143="934",$C143="949"),$D143,)</f>
        <v>0</v>
      </c>
      <c r="Z143" s="68"/>
      <c r="AA143" s="68">
        <f t="shared" si="17"/>
        <v>0</v>
      </c>
      <c r="AB143" s="68"/>
      <c r="AC143" s="68"/>
      <c r="AD143" s="4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row>
    <row r="144" spans="1:54" collapsed="1">
      <c r="A144" s="72" t="s">
        <v>444</v>
      </c>
      <c r="B144" s="53" t="s">
        <v>346</v>
      </c>
      <c r="C144" s="66"/>
      <c r="D144" s="67"/>
      <c r="E144" s="47">
        <f t="shared" si="39"/>
        <v>0</v>
      </c>
      <c r="F144" s="68">
        <f t="shared" ref="F144:Y144" si="40">F145+F146</f>
        <v>0</v>
      </c>
      <c r="G144" s="68">
        <f t="shared" si="40"/>
        <v>0</v>
      </c>
      <c r="H144" s="68">
        <f t="shared" si="40"/>
        <v>0</v>
      </c>
      <c r="I144" s="68">
        <f t="shared" si="40"/>
        <v>0</v>
      </c>
      <c r="J144" s="68">
        <f t="shared" si="40"/>
        <v>0</v>
      </c>
      <c r="K144" s="68">
        <f t="shared" si="40"/>
        <v>0</v>
      </c>
      <c r="L144" s="68">
        <f t="shared" si="40"/>
        <v>0</v>
      </c>
      <c r="M144" s="68">
        <f t="shared" si="40"/>
        <v>0</v>
      </c>
      <c r="N144" s="68">
        <f t="shared" si="40"/>
        <v>0</v>
      </c>
      <c r="O144" s="68">
        <f t="shared" si="40"/>
        <v>0</v>
      </c>
      <c r="P144" s="68">
        <f t="shared" si="40"/>
        <v>0</v>
      </c>
      <c r="Q144" s="68">
        <f t="shared" si="40"/>
        <v>0</v>
      </c>
      <c r="R144" s="68">
        <f t="shared" si="40"/>
        <v>0</v>
      </c>
      <c r="S144" s="68">
        <f t="shared" si="40"/>
        <v>0</v>
      </c>
      <c r="T144" s="68">
        <f t="shared" si="40"/>
        <v>0</v>
      </c>
      <c r="U144" s="68">
        <f t="shared" si="40"/>
        <v>0</v>
      </c>
      <c r="V144" s="68">
        <f t="shared" si="40"/>
        <v>0</v>
      </c>
      <c r="W144" s="68">
        <f t="shared" si="40"/>
        <v>0</v>
      </c>
      <c r="X144" s="68">
        <f t="shared" si="40"/>
        <v>0</v>
      </c>
      <c r="Y144" s="68">
        <f t="shared" si="40"/>
        <v>0</v>
      </c>
      <c r="Z144" s="68"/>
      <c r="AA144" s="68">
        <f t="shared" si="17"/>
        <v>0</v>
      </c>
      <c r="AB144" s="68"/>
      <c r="AC144" s="68"/>
      <c r="AD144" s="4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row>
    <row r="145" spans="1:54" ht="12.75" hidden="1" customHeight="1" outlineLevel="1">
      <c r="A145" s="69" t="s">
        <v>268</v>
      </c>
      <c r="B145" s="65" t="s">
        <v>313</v>
      </c>
      <c r="C145" s="66" t="s">
        <v>537</v>
      </c>
      <c r="D145" s="67"/>
      <c r="E145" s="47">
        <f t="shared" si="39"/>
        <v>0</v>
      </c>
      <c r="F145" s="68">
        <f>IF($C145="820",$D145,)</f>
        <v>0</v>
      </c>
      <c r="G145" s="68">
        <f t="shared" si="28"/>
        <v>0</v>
      </c>
      <c r="H145" s="68">
        <f>IF($C145="864",$D145,)</f>
        <v>0</v>
      </c>
      <c r="I145" s="68">
        <f>IF($C145="867",$D145,)</f>
        <v>0</v>
      </c>
      <c r="J145" s="68">
        <f>IF($C145="861",$D145,)</f>
        <v>0</v>
      </c>
      <c r="K145" s="68">
        <f>IF($C145="862",$D145,)</f>
        <v>0</v>
      </c>
      <c r="L145" s="68">
        <f>IF($C145="865",$D145,)</f>
        <v>0</v>
      </c>
      <c r="M145" s="68">
        <f>IF($C145="868",$D145,)</f>
        <v>0</v>
      </c>
      <c r="N145" s="68">
        <f>IF($C145="869",$D145,)</f>
        <v>0</v>
      </c>
      <c r="O145" s="68">
        <f>IF($C145="871",$D145,)</f>
        <v>0</v>
      </c>
      <c r="P145" s="68">
        <f>IF($C145="874",$D145,)</f>
        <v>0</v>
      </c>
      <c r="Q145" s="68">
        <f>IF($C145="873",$D145,)</f>
        <v>0</v>
      </c>
      <c r="R145" s="68"/>
      <c r="S145" s="68"/>
      <c r="T145" s="68">
        <f t="shared" si="26"/>
        <v>0</v>
      </c>
      <c r="U145" s="68">
        <f>IF($C145="877",$D145,)</f>
        <v>0</v>
      </c>
      <c r="V145" s="68">
        <f>IF($C145="875",$D145,)</f>
        <v>0</v>
      </c>
      <c r="W145" s="68">
        <f>IF($C145="872",$D145,)</f>
        <v>0</v>
      </c>
      <c r="X145" s="68">
        <f>IF($C145="909",$D145,)</f>
        <v>0</v>
      </c>
      <c r="Y145" s="68">
        <f t="shared" ref="Y145:Y150" si="41">IF(OR($C145="932",$C145="934",$C145="949"),$D145,)</f>
        <v>0</v>
      </c>
      <c r="Z145" s="68"/>
      <c r="AA145" s="68">
        <f t="shared" si="17"/>
        <v>0</v>
      </c>
      <c r="AB145" s="68"/>
      <c r="AC145" s="68"/>
      <c r="AD145" s="4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row>
    <row r="146" spans="1:54" ht="12.75" hidden="1" customHeight="1" outlineLevel="1">
      <c r="A146" s="69" t="s">
        <v>269</v>
      </c>
      <c r="B146" s="53" t="s">
        <v>347</v>
      </c>
      <c r="C146" s="66" t="s">
        <v>545</v>
      </c>
      <c r="D146" s="67"/>
      <c r="E146" s="47">
        <f t="shared" si="39"/>
        <v>0</v>
      </c>
      <c r="F146" s="68">
        <f>IF($C146="820",$D146,)</f>
        <v>0</v>
      </c>
      <c r="G146" s="68">
        <f t="shared" si="28"/>
        <v>0</v>
      </c>
      <c r="H146" s="68">
        <f>IF($C146="864",$D146,)</f>
        <v>0</v>
      </c>
      <c r="I146" s="68">
        <f>IF($C146="867",$D146,)</f>
        <v>0</v>
      </c>
      <c r="J146" s="68">
        <f>IF($C146="861",$D146,)</f>
        <v>0</v>
      </c>
      <c r="K146" s="68">
        <f>IF($C146="862",$D146,)</f>
        <v>0</v>
      </c>
      <c r="L146" s="68">
        <f>IF($C146="865",$D146,)</f>
        <v>0</v>
      </c>
      <c r="M146" s="68">
        <f>IF($C146="868",$D146,)</f>
        <v>0</v>
      </c>
      <c r="N146" s="68">
        <f>IF($C146="869",$D146,)</f>
        <v>0</v>
      </c>
      <c r="O146" s="68">
        <f>IF($C146="871",$D146,)</f>
        <v>0</v>
      </c>
      <c r="P146" s="68">
        <f>IF($C146="874",$D146,)</f>
        <v>0</v>
      </c>
      <c r="Q146" s="68">
        <f>IF($C146="873",$D146,)</f>
        <v>0</v>
      </c>
      <c r="R146" s="68"/>
      <c r="S146" s="68"/>
      <c r="T146" s="68">
        <f t="shared" si="26"/>
        <v>0</v>
      </c>
      <c r="U146" s="68">
        <f>IF($C146="877",$D146,)</f>
        <v>0</v>
      </c>
      <c r="V146" s="68">
        <f>IF($C146="875",$D146,)</f>
        <v>0</v>
      </c>
      <c r="W146" s="68">
        <f>IF($C146="872",$D146,)</f>
        <v>0</v>
      </c>
      <c r="X146" s="68">
        <f>IF($C146="909",$D146,)</f>
        <v>0</v>
      </c>
      <c r="Y146" s="68">
        <f t="shared" si="41"/>
        <v>0</v>
      </c>
      <c r="Z146" s="68"/>
      <c r="AA146" s="68">
        <f t="shared" ref="AA146:AA209" si="42">AB146+AC146</f>
        <v>0</v>
      </c>
      <c r="AB146" s="68"/>
      <c r="AC146" s="68"/>
      <c r="AD146" s="4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row>
    <row r="147" spans="1:54" collapsed="1">
      <c r="A147" s="72" t="s">
        <v>445</v>
      </c>
      <c r="B147" s="53" t="s">
        <v>348</v>
      </c>
      <c r="C147" s="73"/>
      <c r="D147" s="67"/>
      <c r="E147" s="47">
        <f t="shared" si="39"/>
        <v>0</v>
      </c>
      <c r="F147" s="68">
        <f t="shared" ref="F147" si="43">F148+F149+F150</f>
        <v>0</v>
      </c>
      <c r="G147" s="68">
        <f t="shared" si="28"/>
        <v>0</v>
      </c>
      <c r="H147" s="68">
        <f>H148+H149+H150</f>
        <v>0</v>
      </c>
      <c r="I147" s="68">
        <f t="shared" ref="I147:Q147" si="44">I148+I149+I150</f>
        <v>0</v>
      </c>
      <c r="J147" s="68">
        <f t="shared" si="44"/>
        <v>0</v>
      </c>
      <c r="K147" s="68">
        <f t="shared" si="44"/>
        <v>0</v>
      </c>
      <c r="L147" s="68">
        <f t="shared" si="44"/>
        <v>0</v>
      </c>
      <c r="M147" s="68">
        <f t="shared" si="44"/>
        <v>0</v>
      </c>
      <c r="N147" s="68">
        <f t="shared" si="44"/>
        <v>0</v>
      </c>
      <c r="O147" s="68">
        <f t="shared" si="44"/>
        <v>0</v>
      </c>
      <c r="P147" s="68">
        <f t="shared" si="44"/>
        <v>0</v>
      </c>
      <c r="Q147" s="68">
        <f t="shared" si="44"/>
        <v>0</v>
      </c>
      <c r="R147" s="68"/>
      <c r="S147" s="68"/>
      <c r="T147" s="68">
        <f t="shared" si="26"/>
        <v>0</v>
      </c>
      <c r="U147" s="68">
        <f>U148+U149+U150</f>
        <v>0</v>
      </c>
      <c r="V147" s="68">
        <f>V148+V149+V150</f>
        <v>0</v>
      </c>
      <c r="W147" s="68">
        <f>W148+W149+W150</f>
        <v>0</v>
      </c>
      <c r="X147" s="68">
        <f>X148+X149+X150</f>
        <v>0</v>
      </c>
      <c r="Y147" s="68">
        <f t="shared" si="41"/>
        <v>0</v>
      </c>
      <c r="Z147" s="68"/>
      <c r="AA147" s="68">
        <f t="shared" si="42"/>
        <v>0</v>
      </c>
      <c r="AB147" s="68"/>
      <c r="AC147" s="68"/>
      <c r="AD147" s="4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row>
    <row r="148" spans="1:54" ht="12.75" hidden="1" customHeight="1" outlineLevel="1">
      <c r="A148" s="69" t="s">
        <v>268</v>
      </c>
      <c r="B148" s="65" t="s">
        <v>313</v>
      </c>
      <c r="C148" s="66" t="s">
        <v>537</v>
      </c>
      <c r="D148" s="67"/>
      <c r="E148" s="47">
        <f t="shared" si="39"/>
        <v>0</v>
      </c>
      <c r="F148" s="68">
        <f>IF($C148="820",$D148,)</f>
        <v>0</v>
      </c>
      <c r="G148" s="68">
        <f t="shared" si="28"/>
        <v>0</v>
      </c>
      <c r="H148" s="68">
        <f>IF($C148="864",$D148,)</f>
        <v>0</v>
      </c>
      <c r="I148" s="68">
        <f>IF($C148="867",$D148,)</f>
        <v>0</v>
      </c>
      <c r="J148" s="68">
        <f>IF($C148="861",$D148,)</f>
        <v>0</v>
      </c>
      <c r="K148" s="68">
        <f>IF($C148="862",$D148,)</f>
        <v>0</v>
      </c>
      <c r="L148" s="68">
        <f>IF($C148="865",$D148,)</f>
        <v>0</v>
      </c>
      <c r="M148" s="68">
        <f>IF($C148="868",$D148,)</f>
        <v>0</v>
      </c>
      <c r="N148" s="68">
        <f>IF($C148="869",$D148,)</f>
        <v>0</v>
      </c>
      <c r="O148" s="68">
        <f>IF($C148="871",$D148,)</f>
        <v>0</v>
      </c>
      <c r="P148" s="68">
        <f>IF($C148="874",$D148,)</f>
        <v>0</v>
      </c>
      <c r="Q148" s="68">
        <f>IF($C148="873",$D148,)</f>
        <v>0</v>
      </c>
      <c r="R148" s="68"/>
      <c r="S148" s="68"/>
      <c r="T148" s="68">
        <f t="shared" si="26"/>
        <v>0</v>
      </c>
      <c r="U148" s="68">
        <f>IF($C148="877",$D148,)</f>
        <v>0</v>
      </c>
      <c r="V148" s="68">
        <f>IF($C148="875",$D148,)</f>
        <v>0</v>
      </c>
      <c r="W148" s="68">
        <f>IF($C148="872",$D148,)</f>
        <v>0</v>
      </c>
      <c r="X148" s="68">
        <f>IF($C148="909",$D148,)</f>
        <v>0</v>
      </c>
      <c r="Y148" s="68">
        <f t="shared" si="41"/>
        <v>0</v>
      </c>
      <c r="Z148" s="68"/>
      <c r="AA148" s="68">
        <f t="shared" si="42"/>
        <v>0</v>
      </c>
      <c r="AB148" s="68"/>
      <c r="AC148" s="68"/>
      <c r="AD148" s="4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row>
    <row r="149" spans="1:54" ht="12.75" hidden="1" customHeight="1" outlineLevel="1">
      <c r="A149" s="69" t="s">
        <v>269</v>
      </c>
      <c r="B149" s="76" t="s">
        <v>337</v>
      </c>
      <c r="C149" s="66" t="s">
        <v>543</v>
      </c>
      <c r="D149" s="67"/>
      <c r="E149" s="47">
        <f t="shared" si="39"/>
        <v>0</v>
      </c>
      <c r="F149" s="68">
        <f>IF($C149="820",$D149,)</f>
        <v>0</v>
      </c>
      <c r="G149" s="68">
        <f t="shared" si="28"/>
        <v>0</v>
      </c>
      <c r="H149" s="68">
        <f>IF($C149="864",$D149,)</f>
        <v>0</v>
      </c>
      <c r="I149" s="68">
        <f>IF($C149="867",$D149,)</f>
        <v>0</v>
      </c>
      <c r="J149" s="68">
        <f>IF($C149="861",$D149,)</f>
        <v>0</v>
      </c>
      <c r="K149" s="68">
        <f>IF($C149="862",$D149,)</f>
        <v>0</v>
      </c>
      <c r="L149" s="68">
        <f>IF($C149="865",$D149,)</f>
        <v>0</v>
      </c>
      <c r="M149" s="68">
        <f>IF($C149="868",$D149,)</f>
        <v>0</v>
      </c>
      <c r="N149" s="68">
        <f>IF($C149="869",$D149,)</f>
        <v>0</v>
      </c>
      <c r="O149" s="68">
        <f>IF($C149="871",$D149,)</f>
        <v>0</v>
      </c>
      <c r="P149" s="68">
        <f>IF($C149="874",$D149,)</f>
        <v>0</v>
      </c>
      <c r="Q149" s="68">
        <f>IF($C149="873",$D149,)</f>
        <v>0</v>
      </c>
      <c r="R149" s="68"/>
      <c r="S149" s="68"/>
      <c r="T149" s="68">
        <f t="shared" si="26"/>
        <v>0</v>
      </c>
      <c r="U149" s="68">
        <f>IF($C149="877",$D149,)</f>
        <v>0</v>
      </c>
      <c r="V149" s="68">
        <f>IF($C149="875",$D149,)</f>
        <v>0</v>
      </c>
      <c r="W149" s="68">
        <f>IF($C149="872",$D149,)</f>
        <v>0</v>
      </c>
      <c r="X149" s="68">
        <f>IF($C149="909",$D149,)</f>
        <v>0</v>
      </c>
      <c r="Y149" s="68">
        <f t="shared" si="41"/>
        <v>0</v>
      </c>
      <c r="Z149" s="68"/>
      <c r="AA149" s="68">
        <f t="shared" si="42"/>
        <v>0</v>
      </c>
      <c r="AB149" s="68"/>
      <c r="AC149" s="68"/>
      <c r="AD149" s="4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row>
    <row r="150" spans="1:54" ht="12.75" hidden="1" customHeight="1" outlineLevel="1">
      <c r="A150" s="69" t="s">
        <v>270</v>
      </c>
      <c r="B150" s="76" t="s">
        <v>324</v>
      </c>
      <c r="C150" s="66" t="s">
        <v>538</v>
      </c>
      <c r="D150" s="67"/>
      <c r="E150" s="47">
        <f t="shared" si="39"/>
        <v>0</v>
      </c>
      <c r="F150" s="68">
        <f>IF($C150="820",$D150,)</f>
        <v>0</v>
      </c>
      <c r="G150" s="68">
        <f t="shared" si="28"/>
        <v>0</v>
      </c>
      <c r="H150" s="68">
        <f>IF($C150="864",$D150,)</f>
        <v>0</v>
      </c>
      <c r="I150" s="68">
        <f>IF($C150="867",$D150,)</f>
        <v>0</v>
      </c>
      <c r="J150" s="68">
        <f>IF($C150="861",$D150,)</f>
        <v>0</v>
      </c>
      <c r="K150" s="68">
        <f>IF($C150="862",$D150,)</f>
        <v>0</v>
      </c>
      <c r="L150" s="68">
        <f>IF($C150="865",$D150,)</f>
        <v>0</v>
      </c>
      <c r="M150" s="68">
        <f>IF($C150="868",$D150,)</f>
        <v>0</v>
      </c>
      <c r="N150" s="68">
        <f>IF($C150="869",$D150,)</f>
        <v>0</v>
      </c>
      <c r="O150" s="68">
        <f>IF($C150="871",$D150,)</f>
        <v>0</v>
      </c>
      <c r="P150" s="68">
        <f>IF($C150="874",$D150,)</f>
        <v>0</v>
      </c>
      <c r="Q150" s="68">
        <f>IF($C150="873",$D150,)</f>
        <v>0</v>
      </c>
      <c r="R150" s="68"/>
      <c r="S150" s="68"/>
      <c r="T150" s="68">
        <f t="shared" si="26"/>
        <v>0</v>
      </c>
      <c r="U150" s="68">
        <f>IF($C150="877",$D150,)</f>
        <v>0</v>
      </c>
      <c r="V150" s="68">
        <f>IF($C150="875",$D150,)</f>
        <v>0</v>
      </c>
      <c r="W150" s="68">
        <f>IF($C150="872",$D150,)</f>
        <v>0</v>
      </c>
      <c r="X150" s="68">
        <f>IF($C150="909",$D150,)</f>
        <v>0</v>
      </c>
      <c r="Y150" s="68">
        <f t="shared" si="41"/>
        <v>0</v>
      </c>
      <c r="Z150" s="68"/>
      <c r="AA150" s="68">
        <f t="shared" si="42"/>
        <v>0</v>
      </c>
      <c r="AB150" s="68"/>
      <c r="AC150" s="68"/>
      <c r="AD150" s="4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row>
    <row r="151" spans="1:54" collapsed="1">
      <c r="A151" s="72" t="s">
        <v>446</v>
      </c>
      <c r="B151" s="53" t="s">
        <v>349</v>
      </c>
      <c r="C151" s="66"/>
      <c r="D151" s="67"/>
      <c r="E151" s="47">
        <f t="shared" si="39"/>
        <v>0</v>
      </c>
      <c r="F151" s="68">
        <f t="shared" ref="F151:Y151" si="45">F152+F153</f>
        <v>0</v>
      </c>
      <c r="G151" s="68">
        <f t="shared" si="45"/>
        <v>0</v>
      </c>
      <c r="H151" s="68">
        <f t="shared" si="45"/>
        <v>0</v>
      </c>
      <c r="I151" s="68">
        <f t="shared" si="45"/>
        <v>0</v>
      </c>
      <c r="J151" s="68">
        <f t="shared" si="45"/>
        <v>0</v>
      </c>
      <c r="K151" s="68">
        <f t="shared" si="45"/>
        <v>0</v>
      </c>
      <c r="L151" s="68">
        <f t="shared" si="45"/>
        <v>0</v>
      </c>
      <c r="M151" s="68">
        <f t="shared" si="45"/>
        <v>0</v>
      </c>
      <c r="N151" s="68">
        <f t="shared" si="45"/>
        <v>0</v>
      </c>
      <c r="O151" s="68">
        <f t="shared" si="45"/>
        <v>0</v>
      </c>
      <c r="P151" s="68">
        <f t="shared" si="45"/>
        <v>0</v>
      </c>
      <c r="Q151" s="68">
        <f t="shared" si="45"/>
        <v>0</v>
      </c>
      <c r="R151" s="68">
        <f t="shared" si="45"/>
        <v>0</v>
      </c>
      <c r="S151" s="68">
        <f t="shared" si="45"/>
        <v>0</v>
      </c>
      <c r="T151" s="68">
        <f t="shared" si="45"/>
        <v>0</v>
      </c>
      <c r="U151" s="68">
        <f t="shared" si="45"/>
        <v>0</v>
      </c>
      <c r="V151" s="68">
        <f t="shared" si="45"/>
        <v>0</v>
      </c>
      <c r="W151" s="68">
        <f t="shared" si="45"/>
        <v>0</v>
      </c>
      <c r="X151" s="68">
        <f t="shared" si="45"/>
        <v>0</v>
      </c>
      <c r="Y151" s="68">
        <f t="shared" si="45"/>
        <v>0</v>
      </c>
      <c r="Z151" s="68"/>
      <c r="AA151" s="68">
        <f t="shared" si="42"/>
        <v>0</v>
      </c>
      <c r="AB151" s="68"/>
      <c r="AC151" s="68"/>
      <c r="AD151" s="4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row>
    <row r="152" spans="1:54" ht="12.75" customHeight="1" outlineLevel="1">
      <c r="A152" s="69" t="s">
        <v>268</v>
      </c>
      <c r="B152" s="65" t="s">
        <v>313</v>
      </c>
      <c r="C152" s="66" t="s">
        <v>537</v>
      </c>
      <c r="D152" s="67"/>
      <c r="E152" s="47">
        <f t="shared" si="39"/>
        <v>0</v>
      </c>
      <c r="F152" s="68">
        <f>IF($C152="820",$D152,)</f>
        <v>0</v>
      </c>
      <c r="G152" s="68">
        <f t="shared" si="28"/>
        <v>0</v>
      </c>
      <c r="H152" s="68">
        <f>IF($C152="864",$D152,)</f>
        <v>0</v>
      </c>
      <c r="I152" s="68">
        <f>IF($C152="867",$D152,)</f>
        <v>0</v>
      </c>
      <c r="J152" s="68">
        <f>IF($C152="861",$D152,)</f>
        <v>0</v>
      </c>
      <c r="K152" s="68">
        <f>IF($C152="862",$D152,)</f>
        <v>0</v>
      </c>
      <c r="L152" s="68">
        <f>IF($C152="865",$D152,)</f>
        <v>0</v>
      </c>
      <c r="M152" s="68">
        <f>IF($C152="868",$D152,)</f>
        <v>0</v>
      </c>
      <c r="N152" s="68">
        <f>IF($C152="869",$D152,)</f>
        <v>0</v>
      </c>
      <c r="O152" s="68">
        <f>IF($C152="871",$D152,)</f>
        <v>0</v>
      </c>
      <c r="P152" s="68">
        <f>IF($C152="874",$D152,)</f>
        <v>0</v>
      </c>
      <c r="Q152" s="68">
        <f>IF($C152="873",$D152,)</f>
        <v>0</v>
      </c>
      <c r="R152" s="68"/>
      <c r="S152" s="68"/>
      <c r="T152" s="68">
        <f t="shared" ref="T152:T217" si="46">Q152-R152-S152</f>
        <v>0</v>
      </c>
      <c r="U152" s="68">
        <f>IF($C152="877",$D152,)</f>
        <v>0</v>
      </c>
      <c r="V152" s="68">
        <f>IF($C152="875",$D152,)</f>
        <v>0</v>
      </c>
      <c r="W152" s="68">
        <f>IF($C152="872",$D152,)</f>
        <v>0</v>
      </c>
      <c r="X152" s="68">
        <f>IF($C152="909",$D152,)</f>
        <v>0</v>
      </c>
      <c r="Y152" s="68">
        <f>IF(OR($C152="932",$C152="934",$C152="949"),$D152,)</f>
        <v>0</v>
      </c>
      <c r="Z152" s="68"/>
      <c r="AA152" s="68">
        <f t="shared" si="42"/>
        <v>0</v>
      </c>
      <c r="AB152" s="68"/>
      <c r="AC152" s="68"/>
      <c r="AD152" s="4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row>
    <row r="153" spans="1:54" ht="12.75" customHeight="1" outlineLevel="1">
      <c r="A153" s="69" t="s">
        <v>269</v>
      </c>
      <c r="B153" s="53" t="s">
        <v>350</v>
      </c>
      <c r="C153" s="66" t="s">
        <v>538</v>
      </c>
      <c r="D153" s="67"/>
      <c r="E153" s="47">
        <f t="shared" si="39"/>
        <v>0</v>
      </c>
      <c r="F153" s="68">
        <f>IF($C153="820",$D153,)</f>
        <v>0</v>
      </c>
      <c r="G153" s="68">
        <f t="shared" si="28"/>
        <v>0</v>
      </c>
      <c r="H153" s="68">
        <f>IF($C153="864",$D153,)</f>
        <v>0</v>
      </c>
      <c r="I153" s="68">
        <f>IF($C153="867",$D153,)</f>
        <v>0</v>
      </c>
      <c r="J153" s="68">
        <f>IF($C153="861",$D153,)</f>
        <v>0</v>
      </c>
      <c r="K153" s="68">
        <f>IF($C153="862",$D153,)</f>
        <v>0</v>
      </c>
      <c r="L153" s="68">
        <f>IF($C153="865",$D153,)</f>
        <v>0</v>
      </c>
      <c r="M153" s="68">
        <f>IF($C153="868",$D153,)</f>
        <v>0</v>
      </c>
      <c r="N153" s="68">
        <f>IF($C153="869",$D153,)</f>
        <v>0</v>
      </c>
      <c r="O153" s="68">
        <f>IF($C153="871",$D153,)</f>
        <v>0</v>
      </c>
      <c r="P153" s="68">
        <f>IF($C153="874",$D153,)</f>
        <v>0</v>
      </c>
      <c r="Q153" s="68">
        <f>IF($C153="873",$D153,)</f>
        <v>0</v>
      </c>
      <c r="R153" s="68"/>
      <c r="S153" s="68"/>
      <c r="T153" s="68">
        <f t="shared" si="46"/>
        <v>0</v>
      </c>
      <c r="U153" s="68">
        <f>IF($C153="877",$D153,)</f>
        <v>0</v>
      </c>
      <c r="V153" s="68">
        <f>IF($C153="875",$D153,)</f>
        <v>0</v>
      </c>
      <c r="W153" s="68">
        <f>IF($C153="872",$D153,)</f>
        <v>0</v>
      </c>
      <c r="X153" s="68">
        <f>IF($C153="909",$D153,)</f>
        <v>0</v>
      </c>
      <c r="Y153" s="68">
        <f>IF(OR($C153="932",$C153="934",$C153="949"),$D153,)</f>
        <v>0</v>
      </c>
      <c r="Z153" s="68"/>
      <c r="AA153" s="68">
        <f t="shared" si="42"/>
        <v>0</v>
      </c>
      <c r="AB153" s="68"/>
      <c r="AC153" s="68"/>
      <c r="AD153" s="4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row>
    <row r="154" spans="1:54">
      <c r="A154" s="70" t="s">
        <v>447</v>
      </c>
      <c r="B154" s="53" t="s">
        <v>351</v>
      </c>
      <c r="C154" s="73"/>
      <c r="D154" s="67"/>
      <c r="E154" s="47">
        <f t="shared" si="39"/>
        <v>0</v>
      </c>
      <c r="F154" s="68">
        <f t="shared" ref="F154:Y154" si="47">F155+F156+F157</f>
        <v>0</v>
      </c>
      <c r="G154" s="68">
        <f>G155+G156+G157</f>
        <v>0</v>
      </c>
      <c r="H154" s="68">
        <f t="shared" si="47"/>
        <v>0</v>
      </c>
      <c r="I154" s="68">
        <f t="shared" si="47"/>
        <v>0</v>
      </c>
      <c r="J154" s="68">
        <f t="shared" si="47"/>
        <v>0</v>
      </c>
      <c r="K154" s="68">
        <f t="shared" si="47"/>
        <v>0</v>
      </c>
      <c r="L154" s="68">
        <f t="shared" si="47"/>
        <v>0</v>
      </c>
      <c r="M154" s="68">
        <f t="shared" si="47"/>
        <v>0</v>
      </c>
      <c r="N154" s="68">
        <f t="shared" si="47"/>
        <v>0</v>
      </c>
      <c r="O154" s="68">
        <f t="shared" si="47"/>
        <v>0</v>
      </c>
      <c r="P154" s="68">
        <f t="shared" si="47"/>
        <v>0</v>
      </c>
      <c r="Q154" s="68">
        <f t="shared" si="47"/>
        <v>0</v>
      </c>
      <c r="R154" s="68">
        <f t="shared" si="47"/>
        <v>0</v>
      </c>
      <c r="S154" s="68">
        <f t="shared" si="47"/>
        <v>0</v>
      </c>
      <c r="T154" s="68">
        <f t="shared" si="47"/>
        <v>0</v>
      </c>
      <c r="U154" s="68">
        <f t="shared" si="47"/>
        <v>0</v>
      </c>
      <c r="V154" s="68">
        <f t="shared" si="47"/>
        <v>0</v>
      </c>
      <c r="W154" s="68">
        <f t="shared" si="47"/>
        <v>0</v>
      </c>
      <c r="X154" s="68">
        <f t="shared" si="47"/>
        <v>0</v>
      </c>
      <c r="Y154" s="68">
        <f t="shared" si="47"/>
        <v>0</v>
      </c>
      <c r="Z154" s="68"/>
      <c r="AA154" s="68">
        <f t="shared" si="42"/>
        <v>0</v>
      </c>
      <c r="AB154" s="68"/>
      <c r="AC154" s="68"/>
      <c r="AD154" s="4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row>
    <row r="155" spans="1:54" ht="12.75" customHeight="1" outlineLevel="1">
      <c r="A155" s="74" t="s">
        <v>268</v>
      </c>
      <c r="B155" s="53" t="s">
        <v>313</v>
      </c>
      <c r="C155" s="66" t="s">
        <v>537</v>
      </c>
      <c r="D155" s="67"/>
      <c r="E155" s="47">
        <f t="shared" si="39"/>
        <v>0</v>
      </c>
      <c r="F155" s="68">
        <f>IF($C155="820",$D155,)</f>
        <v>0</v>
      </c>
      <c r="G155" s="68">
        <f t="shared" si="28"/>
        <v>0</v>
      </c>
      <c r="H155" s="68">
        <f>IF($C155="864",$D155,)</f>
        <v>0</v>
      </c>
      <c r="I155" s="68">
        <f>IF($C155="867",$D155,)</f>
        <v>0</v>
      </c>
      <c r="J155" s="68">
        <f>IF($C155="861",$D155,)</f>
        <v>0</v>
      </c>
      <c r="K155" s="68">
        <f>IF($C155="862",$D155,)</f>
        <v>0</v>
      </c>
      <c r="L155" s="68">
        <f>IF($C155="865",$D155,)</f>
        <v>0</v>
      </c>
      <c r="M155" s="68">
        <f>IF($C155="868",$D155,)</f>
        <v>0</v>
      </c>
      <c r="N155" s="68">
        <f>IF($C155="869",$D155,)</f>
        <v>0</v>
      </c>
      <c r="O155" s="68">
        <f>IF($C155="871",$D155,)</f>
        <v>0</v>
      </c>
      <c r="P155" s="68">
        <f>IF($C155="874",$D155,)</f>
        <v>0</v>
      </c>
      <c r="Q155" s="68">
        <f>IF($C155="873",$D155,)</f>
        <v>0</v>
      </c>
      <c r="R155" s="68"/>
      <c r="S155" s="68"/>
      <c r="T155" s="68">
        <f t="shared" si="46"/>
        <v>0</v>
      </c>
      <c r="U155" s="68">
        <f>IF($C155="877",$D155,)</f>
        <v>0</v>
      </c>
      <c r="V155" s="68">
        <f>IF($C155="875",$D155,)</f>
        <v>0</v>
      </c>
      <c r="W155" s="68">
        <f>IF($C155="872",$D155,)</f>
        <v>0</v>
      </c>
      <c r="X155" s="68">
        <f>IF($C155="909",$D155,)</f>
        <v>0</v>
      </c>
      <c r="Y155" s="68">
        <f t="shared" ref="Y155:Y163" si="48">IF(OR($C155="932",$C155="934",$C155="949"),$D155,)</f>
        <v>0</v>
      </c>
      <c r="Z155" s="68"/>
      <c r="AA155" s="68">
        <f t="shared" si="42"/>
        <v>0</v>
      </c>
      <c r="AB155" s="68"/>
      <c r="AC155" s="68"/>
      <c r="AD155" s="4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row>
    <row r="156" spans="1:54" ht="12.75" customHeight="1" outlineLevel="1">
      <c r="A156" s="74" t="s">
        <v>269</v>
      </c>
      <c r="B156" s="53" t="s">
        <v>352</v>
      </c>
      <c r="C156" s="66" t="s">
        <v>538</v>
      </c>
      <c r="D156" s="67"/>
      <c r="E156" s="47">
        <f t="shared" si="39"/>
        <v>0</v>
      </c>
      <c r="F156" s="68">
        <f>IF($C156="820",$D156,)</f>
        <v>0</v>
      </c>
      <c r="G156" s="68">
        <f t="shared" si="28"/>
        <v>0</v>
      </c>
      <c r="H156" s="68">
        <f>IF($C156="864",$D156,)</f>
        <v>0</v>
      </c>
      <c r="I156" s="68">
        <f>IF($C156="867",$D156,)</f>
        <v>0</v>
      </c>
      <c r="J156" s="68">
        <f>IF($C156="861",$D156,)</f>
        <v>0</v>
      </c>
      <c r="K156" s="68">
        <f>IF($C156="862",$D156,)</f>
        <v>0</v>
      </c>
      <c r="L156" s="68">
        <f>IF($C156="865",$D156,)</f>
        <v>0</v>
      </c>
      <c r="M156" s="68">
        <f>IF($C156="868",$D156,)</f>
        <v>0</v>
      </c>
      <c r="N156" s="68">
        <f>IF($C156="869",$D156,)</f>
        <v>0</v>
      </c>
      <c r="O156" s="68">
        <f>IF($C156="871",$D156,)</f>
        <v>0</v>
      </c>
      <c r="P156" s="68">
        <f>IF($C156="874",$D156,)</f>
        <v>0</v>
      </c>
      <c r="Q156" s="68">
        <f>IF($C156="873",$D156,)</f>
        <v>0</v>
      </c>
      <c r="R156" s="68"/>
      <c r="S156" s="68"/>
      <c r="T156" s="68">
        <f t="shared" si="46"/>
        <v>0</v>
      </c>
      <c r="U156" s="68">
        <f>IF($C156="877",$D156,)</f>
        <v>0</v>
      </c>
      <c r="V156" s="68">
        <f>IF($C156="875",$D156,)</f>
        <v>0</v>
      </c>
      <c r="W156" s="68">
        <f>IF($C156="872",$D156,)</f>
        <v>0</v>
      </c>
      <c r="X156" s="68">
        <f>IF($C156="909",$D156,)</f>
        <v>0</v>
      </c>
      <c r="Y156" s="68">
        <f t="shared" si="48"/>
        <v>0</v>
      </c>
      <c r="Z156" s="68"/>
      <c r="AA156" s="68">
        <f t="shared" si="42"/>
        <v>0</v>
      </c>
      <c r="AB156" s="68"/>
      <c r="AC156" s="68"/>
      <c r="AD156" s="4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row>
    <row r="157" spans="1:54" ht="12.75" customHeight="1" outlineLevel="1">
      <c r="A157" s="74" t="s">
        <v>270</v>
      </c>
      <c r="B157" s="53" t="s">
        <v>353</v>
      </c>
      <c r="C157" s="66" t="s">
        <v>539</v>
      </c>
      <c r="D157" s="67"/>
      <c r="E157" s="47">
        <f t="shared" si="39"/>
        <v>0</v>
      </c>
      <c r="F157" s="68">
        <f>IF($C157="820",$D157,)</f>
        <v>0</v>
      </c>
      <c r="G157" s="68">
        <f t="shared" si="28"/>
        <v>0</v>
      </c>
      <c r="H157" s="68">
        <f>IF($C157="864",$D157,)</f>
        <v>0</v>
      </c>
      <c r="I157" s="68">
        <f>IF($C157="867",$D157,)</f>
        <v>0</v>
      </c>
      <c r="J157" s="68">
        <f>IF($C157="861",$D157,)</f>
        <v>0</v>
      </c>
      <c r="K157" s="68">
        <f>IF($C157="862",$D157,)</f>
        <v>0</v>
      </c>
      <c r="L157" s="68">
        <f>IF($C157="865",$D157,)</f>
        <v>0</v>
      </c>
      <c r="M157" s="68">
        <f>IF($C157="868",$D157,)</f>
        <v>0</v>
      </c>
      <c r="N157" s="68">
        <f>IF($C157="869",$D157,)</f>
        <v>0</v>
      </c>
      <c r="O157" s="68">
        <f>IF($C157="871",$D157,)</f>
        <v>0</v>
      </c>
      <c r="P157" s="68">
        <f>IF($C157="874",$D157,)</f>
        <v>0</v>
      </c>
      <c r="Q157" s="68">
        <f>IF($C157="873",$D157,)</f>
        <v>0</v>
      </c>
      <c r="R157" s="68"/>
      <c r="S157" s="68"/>
      <c r="T157" s="68">
        <f t="shared" si="46"/>
        <v>0</v>
      </c>
      <c r="U157" s="68">
        <f>IF($C157="877",$D157,)</f>
        <v>0</v>
      </c>
      <c r="V157" s="68">
        <f>IF($C157="875",$D157,)</f>
        <v>0</v>
      </c>
      <c r="W157" s="68">
        <f>IF($C157="872",$D157,)</f>
        <v>0</v>
      </c>
      <c r="X157" s="68">
        <f>IF($C157="909",$D157,)</f>
        <v>0</v>
      </c>
      <c r="Y157" s="68">
        <f t="shared" si="48"/>
        <v>0</v>
      </c>
      <c r="Z157" s="68"/>
      <c r="AA157" s="68">
        <f t="shared" si="42"/>
        <v>0</v>
      </c>
      <c r="AB157" s="68"/>
      <c r="AC157" s="68"/>
      <c r="AD157" s="4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row>
    <row r="158" spans="1:54">
      <c r="A158" s="77">
        <v>16</v>
      </c>
      <c r="B158" s="53" t="s">
        <v>354</v>
      </c>
      <c r="C158" s="66"/>
      <c r="D158" s="67"/>
      <c r="E158" s="47">
        <f t="shared" si="39"/>
        <v>0</v>
      </c>
      <c r="F158" s="68">
        <f>F159+F160+F161</f>
        <v>0</v>
      </c>
      <c r="G158" s="68">
        <f t="shared" si="28"/>
        <v>0</v>
      </c>
      <c r="H158" s="68">
        <f>H159+H160+H161</f>
        <v>0</v>
      </c>
      <c r="I158" s="68">
        <f t="shared" ref="I158:Q158" si="49">I159+I160+I161</f>
        <v>0</v>
      </c>
      <c r="J158" s="68">
        <f t="shared" si="49"/>
        <v>0</v>
      </c>
      <c r="K158" s="68">
        <f t="shared" si="49"/>
        <v>0</v>
      </c>
      <c r="L158" s="68">
        <f t="shared" si="49"/>
        <v>0</v>
      </c>
      <c r="M158" s="68">
        <f t="shared" si="49"/>
        <v>0</v>
      </c>
      <c r="N158" s="68">
        <f t="shared" si="49"/>
        <v>0</v>
      </c>
      <c r="O158" s="68">
        <f t="shared" si="49"/>
        <v>0</v>
      </c>
      <c r="P158" s="68">
        <f t="shared" si="49"/>
        <v>0</v>
      </c>
      <c r="Q158" s="68">
        <f t="shared" si="49"/>
        <v>0</v>
      </c>
      <c r="R158" s="68"/>
      <c r="S158" s="68"/>
      <c r="T158" s="68">
        <f t="shared" si="46"/>
        <v>0</v>
      </c>
      <c r="U158" s="68">
        <f>U159+U160+U161</f>
        <v>0</v>
      </c>
      <c r="V158" s="68">
        <f>V159+V160+V161</f>
        <v>0</v>
      </c>
      <c r="W158" s="68">
        <f>W159+W160+W161</f>
        <v>0</v>
      </c>
      <c r="X158" s="68">
        <f>X159+X160+X161</f>
        <v>0</v>
      </c>
      <c r="Y158" s="68">
        <f t="shared" si="48"/>
        <v>0</v>
      </c>
      <c r="Z158" s="68"/>
      <c r="AA158" s="68">
        <f t="shared" si="42"/>
        <v>0</v>
      </c>
      <c r="AB158" s="68"/>
      <c r="AC158" s="68"/>
      <c r="AD158" s="4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row>
    <row r="159" spans="1:54" ht="12.75" hidden="1" customHeight="1" outlineLevel="1">
      <c r="A159" s="74" t="s">
        <v>268</v>
      </c>
      <c r="B159" s="53" t="s">
        <v>313</v>
      </c>
      <c r="C159" s="66" t="s">
        <v>537</v>
      </c>
      <c r="D159" s="67"/>
      <c r="E159" s="47">
        <f t="shared" si="39"/>
        <v>0</v>
      </c>
      <c r="F159" s="68">
        <f>IF($C159="820",$D159,)</f>
        <v>0</v>
      </c>
      <c r="G159" s="68">
        <f t="shared" si="28"/>
        <v>0</v>
      </c>
      <c r="H159" s="68">
        <f>IF($C159="864",$D159,)</f>
        <v>0</v>
      </c>
      <c r="I159" s="68">
        <f>IF($C159="867",$D159,)</f>
        <v>0</v>
      </c>
      <c r="J159" s="68">
        <f>IF($C159="861",$D159,)</f>
        <v>0</v>
      </c>
      <c r="K159" s="68">
        <f>IF($C159="862",$D159,)</f>
        <v>0</v>
      </c>
      <c r="L159" s="68">
        <f>IF($C159="865",$D159,)</f>
        <v>0</v>
      </c>
      <c r="M159" s="68">
        <f>IF($C159="868",$D159,)</f>
        <v>0</v>
      </c>
      <c r="N159" s="68">
        <f>IF($C159="869",$D159,)</f>
        <v>0</v>
      </c>
      <c r="O159" s="68">
        <f>IF($C159="871",$D159,)</f>
        <v>0</v>
      </c>
      <c r="P159" s="68">
        <f>IF($C159="874",$D159,)</f>
        <v>0</v>
      </c>
      <c r="Q159" s="68">
        <f>IF($C159="873",$D159,)</f>
        <v>0</v>
      </c>
      <c r="R159" s="68"/>
      <c r="S159" s="68"/>
      <c r="T159" s="68">
        <f t="shared" si="46"/>
        <v>0</v>
      </c>
      <c r="U159" s="68">
        <f>IF($C159="877",$D159,)</f>
        <v>0</v>
      </c>
      <c r="V159" s="68">
        <f>IF($C159="875",$D159,)</f>
        <v>0</v>
      </c>
      <c r="W159" s="68">
        <f>IF($C159="872",$D159,)</f>
        <v>0</v>
      </c>
      <c r="X159" s="68">
        <f>IF($C159="909",$D159,)</f>
        <v>0</v>
      </c>
      <c r="Y159" s="68">
        <f t="shared" si="48"/>
        <v>0</v>
      </c>
      <c r="Z159" s="68"/>
      <c r="AA159" s="68">
        <f t="shared" si="42"/>
        <v>0</v>
      </c>
      <c r="AB159" s="68"/>
      <c r="AC159" s="68"/>
      <c r="AD159" s="4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row>
    <row r="160" spans="1:54" ht="12.75" hidden="1" customHeight="1" outlineLevel="1">
      <c r="A160" s="74" t="s">
        <v>269</v>
      </c>
      <c r="B160" s="53" t="s">
        <v>350</v>
      </c>
      <c r="C160" s="66" t="s">
        <v>538</v>
      </c>
      <c r="D160" s="67"/>
      <c r="E160" s="47">
        <f t="shared" si="39"/>
        <v>0</v>
      </c>
      <c r="F160" s="68">
        <f>IF($C160="820",$D160,)</f>
        <v>0</v>
      </c>
      <c r="G160" s="68">
        <f t="shared" si="28"/>
        <v>0</v>
      </c>
      <c r="H160" s="68">
        <f>IF($C160="864",$D160,)</f>
        <v>0</v>
      </c>
      <c r="I160" s="68">
        <f>IF($C160="867",$D160,)</f>
        <v>0</v>
      </c>
      <c r="J160" s="68">
        <f>IF($C160="861",$D160,)</f>
        <v>0</v>
      </c>
      <c r="K160" s="68">
        <f>IF($C160="862",$D160,)</f>
        <v>0</v>
      </c>
      <c r="L160" s="68">
        <f>IF($C160="865",$D160,)</f>
        <v>0</v>
      </c>
      <c r="M160" s="68">
        <f>IF($C160="868",$D160,)</f>
        <v>0</v>
      </c>
      <c r="N160" s="68">
        <f>IF($C160="869",$D160,)</f>
        <v>0</v>
      </c>
      <c r="O160" s="68">
        <f>IF($C160="871",$D160,)</f>
        <v>0</v>
      </c>
      <c r="P160" s="68">
        <f>IF($C160="874",$D160,)</f>
        <v>0</v>
      </c>
      <c r="Q160" s="68">
        <f>IF($C160="873",$D160,)</f>
        <v>0</v>
      </c>
      <c r="R160" s="68"/>
      <c r="S160" s="68"/>
      <c r="T160" s="68">
        <f t="shared" si="46"/>
        <v>0</v>
      </c>
      <c r="U160" s="68">
        <f>IF($C160="877",$D160,)</f>
        <v>0</v>
      </c>
      <c r="V160" s="68">
        <f>IF($C160="875",$D160,)</f>
        <v>0</v>
      </c>
      <c r="W160" s="68">
        <f>IF($C160="872",$D160,)</f>
        <v>0</v>
      </c>
      <c r="X160" s="68">
        <f>IF($C160="909",$D160,)</f>
        <v>0</v>
      </c>
      <c r="Y160" s="68">
        <f t="shared" si="48"/>
        <v>0</v>
      </c>
      <c r="Z160" s="68"/>
      <c r="AA160" s="68">
        <f t="shared" si="42"/>
        <v>0</v>
      </c>
      <c r="AB160" s="68"/>
      <c r="AC160" s="68"/>
      <c r="AD160" s="4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row>
    <row r="161" spans="1:54" ht="12.75" hidden="1" customHeight="1" outlineLevel="1">
      <c r="A161" s="74"/>
      <c r="B161" s="53"/>
      <c r="C161" s="66"/>
      <c r="D161" s="67"/>
      <c r="E161" s="47">
        <f t="shared" si="39"/>
        <v>0</v>
      </c>
      <c r="F161" s="68">
        <f>IF($C161="820",$D161,)</f>
        <v>0</v>
      </c>
      <c r="G161" s="68">
        <f t="shared" si="28"/>
        <v>0</v>
      </c>
      <c r="H161" s="68">
        <f>IF($C161="864",$D161,)</f>
        <v>0</v>
      </c>
      <c r="I161" s="68">
        <f>IF($C161="867",$D161,)</f>
        <v>0</v>
      </c>
      <c r="J161" s="68">
        <f>IF($C161="861",$D161,)</f>
        <v>0</v>
      </c>
      <c r="K161" s="68">
        <f>IF($C161="862",$D161,)</f>
        <v>0</v>
      </c>
      <c r="L161" s="68">
        <f>IF($C161="865",$D161,)</f>
        <v>0</v>
      </c>
      <c r="M161" s="68">
        <f>IF($C161="868",$D161,)</f>
        <v>0</v>
      </c>
      <c r="N161" s="68">
        <f>IF($C161="869",$D161,)</f>
        <v>0</v>
      </c>
      <c r="O161" s="68">
        <f>IF($C161="871",$D161,)</f>
        <v>0</v>
      </c>
      <c r="P161" s="68">
        <f>IF($C161="874",$D161,)</f>
        <v>0</v>
      </c>
      <c r="Q161" s="68">
        <f>IF($C161="873",$D161,)</f>
        <v>0</v>
      </c>
      <c r="R161" s="68"/>
      <c r="S161" s="68"/>
      <c r="T161" s="68">
        <f t="shared" si="46"/>
        <v>0</v>
      </c>
      <c r="U161" s="68">
        <f>IF($C161="877",$D161,)</f>
        <v>0</v>
      </c>
      <c r="V161" s="68">
        <f>IF($C161="875",$D161,)</f>
        <v>0</v>
      </c>
      <c r="W161" s="68">
        <f>IF($C161="872",$D161,)</f>
        <v>0</v>
      </c>
      <c r="X161" s="68">
        <f>IF($C161="909",$D161,)</f>
        <v>0</v>
      </c>
      <c r="Y161" s="68">
        <f t="shared" si="48"/>
        <v>0</v>
      </c>
      <c r="Z161" s="68"/>
      <c r="AA161" s="68">
        <f t="shared" si="42"/>
        <v>0</v>
      </c>
      <c r="AB161" s="68"/>
      <c r="AC161" s="68"/>
      <c r="AD161" s="4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row>
    <row r="162" spans="1:54" ht="12.75" hidden="1" customHeight="1" outlineLevel="1">
      <c r="A162" s="77"/>
      <c r="B162" s="53"/>
      <c r="C162" s="66"/>
      <c r="D162" s="67"/>
      <c r="E162" s="47">
        <f t="shared" si="39"/>
        <v>0</v>
      </c>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4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row>
    <row r="163" spans="1:54" collapsed="1">
      <c r="A163" s="77">
        <v>17</v>
      </c>
      <c r="B163" s="53" t="s">
        <v>355</v>
      </c>
      <c r="C163" s="75" t="s">
        <v>537</v>
      </c>
      <c r="D163" s="67"/>
      <c r="E163" s="47">
        <f t="shared" si="39"/>
        <v>0</v>
      </c>
      <c r="F163" s="68">
        <f>IF($C163="820",$D163,)</f>
        <v>0</v>
      </c>
      <c r="G163" s="68">
        <f>H163+I163+J163+K163+L163+M163+N163+O163+P163+Q163+U163+V163+W163+X163</f>
        <v>0</v>
      </c>
      <c r="H163" s="68">
        <f>IF($C163="864",$D163,)</f>
        <v>0</v>
      </c>
      <c r="I163" s="68">
        <f>IF($C163="867",$D163,)</f>
        <v>0</v>
      </c>
      <c r="J163" s="68">
        <f>IF($C163="861",$D163,)</f>
        <v>0</v>
      </c>
      <c r="K163" s="68">
        <f>IF($C163="862",$D163,)</f>
        <v>0</v>
      </c>
      <c r="L163" s="68">
        <f>IF($C163="865",$D163,)</f>
        <v>0</v>
      </c>
      <c r="M163" s="68">
        <f>IF($C163="868",$D163,)</f>
        <v>0</v>
      </c>
      <c r="N163" s="68">
        <f>IF($C163="869",$D163,)</f>
        <v>0</v>
      </c>
      <c r="O163" s="68">
        <f>IF($C163="871",$D163,)</f>
        <v>0</v>
      </c>
      <c r="P163" s="68">
        <f>IF($C163="874",$D163,)</f>
        <v>0</v>
      </c>
      <c r="Q163" s="68">
        <f>IF($C163="873",$D163,)</f>
        <v>0</v>
      </c>
      <c r="R163" s="68"/>
      <c r="S163" s="68"/>
      <c r="T163" s="68">
        <f>Q163-R163-S163</f>
        <v>0</v>
      </c>
      <c r="U163" s="68">
        <f>IF($C163="877",$D163,)</f>
        <v>0</v>
      </c>
      <c r="V163" s="68">
        <f>IF($C163="875",$D163,)</f>
        <v>0</v>
      </c>
      <c r="W163" s="68">
        <f>IF($C163="872",$D163,)</f>
        <v>0</v>
      </c>
      <c r="X163" s="68">
        <f>IF($C163="909",$D163,)</f>
        <v>0</v>
      </c>
      <c r="Y163" s="68">
        <f t="shared" si="48"/>
        <v>0</v>
      </c>
      <c r="Z163" s="68"/>
      <c r="AA163" s="68">
        <f t="shared" si="42"/>
        <v>0</v>
      </c>
      <c r="AB163" s="68"/>
      <c r="AC163" s="68"/>
      <c r="AD163" s="4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row>
    <row r="164" spans="1:54" ht="12.75" hidden="1" customHeight="1" outlineLevel="1">
      <c r="A164" s="77"/>
      <c r="B164" s="53"/>
      <c r="C164" s="66"/>
      <c r="D164" s="67"/>
      <c r="E164" s="47">
        <f t="shared" si="39"/>
        <v>0</v>
      </c>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4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row>
    <row r="165" spans="1:54" ht="12.75" hidden="1" customHeight="1" outlineLevel="1">
      <c r="A165" s="77"/>
      <c r="B165" s="53"/>
      <c r="C165" s="66"/>
      <c r="D165" s="67"/>
      <c r="E165" s="47">
        <f t="shared" si="39"/>
        <v>0</v>
      </c>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4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row>
    <row r="166" spans="1:54" ht="12.75" hidden="1" customHeight="1" outlineLevel="1">
      <c r="A166" s="77"/>
      <c r="B166" s="53"/>
      <c r="C166" s="66"/>
      <c r="D166" s="67"/>
      <c r="E166" s="47">
        <f t="shared" si="39"/>
        <v>0</v>
      </c>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4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row>
    <row r="167" spans="1:54" collapsed="1">
      <c r="A167" s="77">
        <v>18</v>
      </c>
      <c r="B167" s="53" t="s">
        <v>356</v>
      </c>
      <c r="C167" s="66" t="s">
        <v>538</v>
      </c>
      <c r="D167" s="67"/>
      <c r="E167" s="47">
        <f t="shared" si="39"/>
        <v>0</v>
      </c>
      <c r="F167" s="68">
        <f t="shared" ref="F167:F171" si="50">IF($C167="820",$D167,)</f>
        <v>0</v>
      </c>
      <c r="G167" s="68">
        <f t="shared" si="28"/>
        <v>0</v>
      </c>
      <c r="H167" s="68">
        <f t="shared" ref="H167:H171" si="51">IF($C167="864",$D167,)</f>
        <v>0</v>
      </c>
      <c r="I167" s="68">
        <f t="shared" ref="I167:I171" si="52">IF($C167="867",$D167,)</f>
        <v>0</v>
      </c>
      <c r="J167" s="68">
        <f t="shared" ref="J167:J171" si="53">IF($C167="861",$D167,)</f>
        <v>0</v>
      </c>
      <c r="K167" s="68">
        <f t="shared" ref="K167:K171" si="54">IF($C167="862",$D167,)</f>
        <v>0</v>
      </c>
      <c r="L167" s="68">
        <f t="shared" ref="L167:L171" si="55">IF($C167="865",$D167,)</f>
        <v>0</v>
      </c>
      <c r="M167" s="68">
        <f t="shared" ref="M167:M171" si="56">IF($C167="868",$D167,)</f>
        <v>0</v>
      </c>
      <c r="N167" s="68">
        <f t="shared" ref="N167:N171" si="57">IF($C167="869",$D167,)</f>
        <v>0</v>
      </c>
      <c r="O167" s="68">
        <f t="shared" ref="O167:O171" si="58">IF($C167="871",$D167,)</f>
        <v>0</v>
      </c>
      <c r="P167" s="68">
        <f t="shared" ref="P167:P171" si="59">IF($C167="874",$D167,)</f>
        <v>0</v>
      </c>
      <c r="Q167" s="68">
        <f t="shared" ref="Q167:Q171" si="60">IF($C167="873",$D167,)</f>
        <v>0</v>
      </c>
      <c r="R167" s="68"/>
      <c r="S167" s="68"/>
      <c r="T167" s="68">
        <f t="shared" si="46"/>
        <v>0</v>
      </c>
      <c r="U167" s="68">
        <f t="shared" ref="U167:U171" si="61">IF($C167="877",$D167,)</f>
        <v>0</v>
      </c>
      <c r="V167" s="68"/>
      <c r="W167" s="68"/>
      <c r="X167" s="68"/>
      <c r="Y167" s="68">
        <f t="shared" ref="Y167:Y180" si="62">IF(OR($C167="932",$C167="934",$C167="949"),$D167,)</f>
        <v>0</v>
      </c>
      <c r="Z167" s="68"/>
      <c r="AA167" s="68">
        <f t="shared" si="42"/>
        <v>0</v>
      </c>
      <c r="AB167" s="68"/>
      <c r="AC167" s="68"/>
      <c r="AD167" s="4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row>
    <row r="168" spans="1:54" ht="25.5">
      <c r="A168" s="77">
        <v>19</v>
      </c>
      <c r="B168" s="53" t="s">
        <v>357</v>
      </c>
      <c r="C168" s="66" t="s">
        <v>540</v>
      </c>
      <c r="D168" s="67"/>
      <c r="E168" s="47">
        <f t="shared" si="39"/>
        <v>0</v>
      </c>
      <c r="F168" s="68">
        <f t="shared" si="50"/>
        <v>0</v>
      </c>
      <c r="G168" s="68">
        <f>H168+I168+J168+K168+L168+M168+N168+O168+P168+Q168+U168+V168+W168+X168</f>
        <v>0</v>
      </c>
      <c r="H168" s="68">
        <f t="shared" si="51"/>
        <v>0</v>
      </c>
      <c r="I168" s="68">
        <f t="shared" si="52"/>
        <v>0</v>
      </c>
      <c r="J168" s="68">
        <f t="shared" si="53"/>
        <v>0</v>
      </c>
      <c r="K168" s="68">
        <f t="shared" si="54"/>
        <v>0</v>
      </c>
      <c r="L168" s="68">
        <f t="shared" si="55"/>
        <v>0</v>
      </c>
      <c r="M168" s="68">
        <f t="shared" si="56"/>
        <v>0</v>
      </c>
      <c r="N168" s="68">
        <f t="shared" si="57"/>
        <v>0</v>
      </c>
      <c r="O168" s="68">
        <f t="shared" si="58"/>
        <v>0</v>
      </c>
      <c r="P168" s="68">
        <f t="shared" si="59"/>
        <v>0</v>
      </c>
      <c r="Q168" s="68">
        <f t="shared" si="60"/>
        <v>0</v>
      </c>
      <c r="R168" s="68"/>
      <c r="S168" s="68"/>
      <c r="T168" s="68">
        <f>Q168-R168-S168</f>
        <v>0</v>
      </c>
      <c r="U168" s="68">
        <f t="shared" si="61"/>
        <v>0</v>
      </c>
      <c r="V168" s="68">
        <f>IF($C168="875",$D168,)</f>
        <v>0</v>
      </c>
      <c r="W168" s="68">
        <f>IF($C168="872",$D168,)</f>
        <v>0</v>
      </c>
      <c r="X168" s="68">
        <f>IF($C168="909",$D168,)</f>
        <v>0</v>
      </c>
      <c r="Y168" s="68">
        <f t="shared" si="62"/>
        <v>0</v>
      </c>
      <c r="Z168" s="68"/>
      <c r="AA168" s="68">
        <f t="shared" si="42"/>
        <v>0</v>
      </c>
      <c r="AB168" s="68"/>
      <c r="AC168" s="68"/>
      <c r="AD168" s="4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row>
    <row r="169" spans="1:54">
      <c r="A169" s="77">
        <v>20</v>
      </c>
      <c r="B169" s="53" t="s">
        <v>358</v>
      </c>
      <c r="C169" s="66" t="s">
        <v>540</v>
      </c>
      <c r="D169" s="67"/>
      <c r="E169" s="47">
        <f t="shared" si="39"/>
        <v>0</v>
      </c>
      <c r="F169" s="68">
        <f t="shared" si="50"/>
        <v>0</v>
      </c>
      <c r="G169" s="68">
        <f t="shared" ref="G169:G234" si="63">H169+I169+J169+K169+L169+M169+N169+O169+P169+Q169+U169+V169+W169+X169</f>
        <v>0</v>
      </c>
      <c r="H169" s="68">
        <f t="shared" si="51"/>
        <v>0</v>
      </c>
      <c r="I169" s="68">
        <f t="shared" si="52"/>
        <v>0</v>
      </c>
      <c r="J169" s="68">
        <f t="shared" si="53"/>
        <v>0</v>
      </c>
      <c r="K169" s="68">
        <f t="shared" si="54"/>
        <v>0</v>
      </c>
      <c r="L169" s="68">
        <f t="shared" si="55"/>
        <v>0</v>
      </c>
      <c r="M169" s="68">
        <f t="shared" si="56"/>
        <v>0</v>
      </c>
      <c r="N169" s="68">
        <f t="shared" si="57"/>
        <v>0</v>
      </c>
      <c r="O169" s="68">
        <f t="shared" si="58"/>
        <v>0</v>
      </c>
      <c r="P169" s="68">
        <f t="shared" si="59"/>
        <v>0</v>
      </c>
      <c r="Q169" s="68">
        <f t="shared" si="60"/>
        <v>0</v>
      </c>
      <c r="R169" s="68"/>
      <c r="S169" s="68"/>
      <c r="T169" s="68">
        <f t="shared" si="46"/>
        <v>0</v>
      </c>
      <c r="U169" s="68">
        <f t="shared" si="61"/>
        <v>0</v>
      </c>
      <c r="V169" s="68">
        <f>IF($C169="875",$D169,)</f>
        <v>0</v>
      </c>
      <c r="W169" s="68">
        <f>IF($C169="872",$D169,)</f>
        <v>0</v>
      </c>
      <c r="X169" s="68">
        <f>IF($C169="909",$D169,)</f>
        <v>0</v>
      </c>
      <c r="Y169" s="68">
        <f t="shared" si="62"/>
        <v>0</v>
      </c>
      <c r="Z169" s="68"/>
      <c r="AA169" s="68">
        <f t="shared" si="42"/>
        <v>0</v>
      </c>
      <c r="AB169" s="68"/>
      <c r="AC169" s="68"/>
      <c r="AD169" s="4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row>
    <row r="170" spans="1:54">
      <c r="A170" s="77">
        <v>21</v>
      </c>
      <c r="B170" s="53" t="s">
        <v>359</v>
      </c>
      <c r="C170" s="66" t="s">
        <v>546</v>
      </c>
      <c r="D170" s="67"/>
      <c r="E170" s="47">
        <f t="shared" si="39"/>
        <v>0</v>
      </c>
      <c r="F170" s="68">
        <f t="shared" si="50"/>
        <v>0</v>
      </c>
      <c r="G170" s="68">
        <f t="shared" si="63"/>
        <v>0</v>
      </c>
      <c r="H170" s="68">
        <f t="shared" si="51"/>
        <v>0</v>
      </c>
      <c r="I170" s="68">
        <f t="shared" si="52"/>
        <v>0</v>
      </c>
      <c r="J170" s="68">
        <f t="shared" si="53"/>
        <v>0</v>
      </c>
      <c r="K170" s="68">
        <f t="shared" si="54"/>
        <v>0</v>
      </c>
      <c r="L170" s="68">
        <f t="shared" si="55"/>
        <v>0</v>
      </c>
      <c r="M170" s="68">
        <f t="shared" si="56"/>
        <v>0</v>
      </c>
      <c r="N170" s="68">
        <f t="shared" si="57"/>
        <v>0</v>
      </c>
      <c r="O170" s="68">
        <f t="shared" si="58"/>
        <v>0</v>
      </c>
      <c r="P170" s="68">
        <f t="shared" si="59"/>
        <v>0</v>
      </c>
      <c r="Q170" s="68">
        <f t="shared" si="60"/>
        <v>0</v>
      </c>
      <c r="R170" s="68"/>
      <c r="S170" s="68"/>
      <c r="T170" s="68">
        <f t="shared" si="46"/>
        <v>0</v>
      </c>
      <c r="U170" s="68">
        <f t="shared" si="61"/>
        <v>0</v>
      </c>
      <c r="V170" s="68">
        <f>IF($C170="875",$D170,)</f>
        <v>0</v>
      </c>
      <c r="W170" s="68">
        <f>IF($C170="872",$D170,)</f>
        <v>0</v>
      </c>
      <c r="X170" s="68">
        <f>IF($C170="909",$D170,)</f>
        <v>0</v>
      </c>
      <c r="Y170" s="68">
        <f t="shared" si="62"/>
        <v>0</v>
      </c>
      <c r="Z170" s="68"/>
      <c r="AA170" s="68">
        <f t="shared" si="42"/>
        <v>0</v>
      </c>
      <c r="AB170" s="68"/>
      <c r="AC170" s="68"/>
      <c r="AD170" s="4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row>
    <row r="171" spans="1:54">
      <c r="A171" s="77">
        <v>22</v>
      </c>
      <c r="B171" s="53" t="s">
        <v>360</v>
      </c>
      <c r="C171" s="66" t="s">
        <v>541</v>
      </c>
      <c r="D171" s="67"/>
      <c r="E171" s="47">
        <f t="shared" si="39"/>
        <v>0</v>
      </c>
      <c r="F171" s="68">
        <f t="shared" si="50"/>
        <v>0</v>
      </c>
      <c r="G171" s="68">
        <f t="shared" si="63"/>
        <v>0</v>
      </c>
      <c r="H171" s="68">
        <f t="shared" si="51"/>
        <v>0</v>
      </c>
      <c r="I171" s="68">
        <f t="shared" si="52"/>
        <v>0</v>
      </c>
      <c r="J171" s="68">
        <f t="shared" si="53"/>
        <v>0</v>
      </c>
      <c r="K171" s="68">
        <f t="shared" si="54"/>
        <v>0</v>
      </c>
      <c r="L171" s="68">
        <f t="shared" si="55"/>
        <v>0</v>
      </c>
      <c r="M171" s="68">
        <f t="shared" si="56"/>
        <v>0</v>
      </c>
      <c r="N171" s="68">
        <f t="shared" si="57"/>
        <v>0</v>
      </c>
      <c r="O171" s="68">
        <f t="shared" si="58"/>
        <v>0</v>
      </c>
      <c r="P171" s="68">
        <f t="shared" si="59"/>
        <v>0</v>
      </c>
      <c r="Q171" s="68">
        <f t="shared" si="60"/>
        <v>0</v>
      </c>
      <c r="R171" s="68"/>
      <c r="S171" s="68"/>
      <c r="T171" s="68">
        <f t="shared" si="46"/>
        <v>0</v>
      </c>
      <c r="U171" s="68">
        <f t="shared" si="61"/>
        <v>0</v>
      </c>
      <c r="V171" s="68">
        <f>IF($C171="875",$D171,)</f>
        <v>0</v>
      </c>
      <c r="W171" s="68">
        <f>IF($C171="872",$D171,)</f>
        <v>0</v>
      </c>
      <c r="X171" s="68">
        <f>IF($C171="909",$D171,)</f>
        <v>0</v>
      </c>
      <c r="Y171" s="68">
        <f t="shared" si="62"/>
        <v>0</v>
      </c>
      <c r="Z171" s="68"/>
      <c r="AA171" s="68">
        <f t="shared" si="42"/>
        <v>0</v>
      </c>
      <c r="AB171" s="68"/>
      <c r="AC171" s="68"/>
      <c r="AD171" s="4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row>
    <row r="172" spans="1:54">
      <c r="A172" s="77">
        <v>23</v>
      </c>
      <c r="B172" s="53" t="s">
        <v>361</v>
      </c>
      <c r="C172" s="66"/>
      <c r="D172" s="67"/>
      <c r="E172" s="47">
        <f t="shared" si="39"/>
        <v>0</v>
      </c>
      <c r="F172" s="68">
        <f>SUM(F173:F174)</f>
        <v>0</v>
      </c>
      <c r="G172" s="68">
        <f t="shared" si="63"/>
        <v>0</v>
      </c>
      <c r="H172" s="68">
        <f>SUM(H173:H174)</f>
        <v>0</v>
      </c>
      <c r="I172" s="68">
        <f t="shared" ref="I172:Q172" si="64">SUM(I173:I174)</f>
        <v>0</v>
      </c>
      <c r="J172" s="68">
        <f t="shared" si="64"/>
        <v>0</v>
      </c>
      <c r="K172" s="68">
        <f t="shared" si="64"/>
        <v>0</v>
      </c>
      <c r="L172" s="68">
        <f t="shared" si="64"/>
        <v>0</v>
      </c>
      <c r="M172" s="68">
        <f t="shared" si="64"/>
        <v>0</v>
      </c>
      <c r="N172" s="68">
        <f t="shared" si="64"/>
        <v>0</v>
      </c>
      <c r="O172" s="68">
        <f t="shared" si="64"/>
        <v>0</v>
      </c>
      <c r="P172" s="68">
        <f t="shared" si="64"/>
        <v>0</v>
      </c>
      <c r="Q172" s="68">
        <f t="shared" si="64"/>
        <v>0</v>
      </c>
      <c r="R172" s="68"/>
      <c r="S172" s="68"/>
      <c r="T172" s="68">
        <f t="shared" si="46"/>
        <v>0</v>
      </c>
      <c r="U172" s="68">
        <f>SUM(U173:U174)</f>
        <v>0</v>
      </c>
      <c r="V172" s="68">
        <f>SUM(V173:V174)</f>
        <v>0</v>
      </c>
      <c r="W172" s="68">
        <f>SUM(W173:W174)</f>
        <v>0</v>
      </c>
      <c r="X172" s="68">
        <f>SUM(X173:X174)</f>
        <v>0</v>
      </c>
      <c r="Y172" s="68">
        <f t="shared" si="62"/>
        <v>0</v>
      </c>
      <c r="Z172" s="68"/>
      <c r="AA172" s="68">
        <f t="shared" si="42"/>
        <v>0</v>
      </c>
      <c r="AB172" s="68"/>
      <c r="AC172" s="68"/>
      <c r="AD172" s="4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row>
    <row r="173" spans="1:54" ht="12.75" hidden="1" customHeight="1" outlineLevel="1">
      <c r="A173" s="74" t="s">
        <v>268</v>
      </c>
      <c r="B173" s="53" t="s">
        <v>313</v>
      </c>
      <c r="C173" s="66" t="s">
        <v>537</v>
      </c>
      <c r="D173" s="67"/>
      <c r="E173" s="47">
        <f t="shared" si="39"/>
        <v>0</v>
      </c>
      <c r="F173" s="68">
        <f>IF($C173="820",$D173,)</f>
        <v>0</v>
      </c>
      <c r="G173" s="68">
        <f t="shared" si="63"/>
        <v>0</v>
      </c>
      <c r="H173" s="68">
        <f>IF($C173="864",$D173,)</f>
        <v>0</v>
      </c>
      <c r="I173" s="68">
        <f>IF($C173="867",$D173,)</f>
        <v>0</v>
      </c>
      <c r="J173" s="68">
        <f>IF($C173="861",$D173,)</f>
        <v>0</v>
      </c>
      <c r="K173" s="68">
        <f>IF($C173="862",$D173,)</f>
        <v>0</v>
      </c>
      <c r="L173" s="68">
        <f>IF($C173="865",$D173,)</f>
        <v>0</v>
      </c>
      <c r="M173" s="68">
        <f>IF($C173="868",$D173,)</f>
        <v>0</v>
      </c>
      <c r="N173" s="68">
        <f>IF($C173="869",$D173,)</f>
        <v>0</v>
      </c>
      <c r="O173" s="68">
        <f>IF($C173="871",$D173,)</f>
        <v>0</v>
      </c>
      <c r="P173" s="68">
        <f>IF($C173="874",$D173,)</f>
        <v>0</v>
      </c>
      <c r="Q173" s="68">
        <f>IF($C173="873",$D173,)</f>
        <v>0</v>
      </c>
      <c r="R173" s="68"/>
      <c r="S173" s="68"/>
      <c r="T173" s="68">
        <f t="shared" si="46"/>
        <v>0</v>
      </c>
      <c r="U173" s="68">
        <f>IF($C173="877",$D173,)</f>
        <v>0</v>
      </c>
      <c r="V173" s="68">
        <f>IF($C173="875",$D173,)</f>
        <v>0</v>
      </c>
      <c r="W173" s="68">
        <f>IF($C173="872",$D173,)</f>
        <v>0</v>
      </c>
      <c r="X173" s="68">
        <f>IF($C173="909",$D173,)</f>
        <v>0</v>
      </c>
      <c r="Y173" s="68">
        <f t="shared" si="62"/>
        <v>0</v>
      </c>
      <c r="Z173" s="68"/>
      <c r="AA173" s="68">
        <f t="shared" si="42"/>
        <v>0</v>
      </c>
      <c r="AB173" s="68"/>
      <c r="AC173" s="68"/>
      <c r="AD173" s="4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row>
    <row r="174" spans="1:54" ht="12.75" hidden="1" customHeight="1" outlineLevel="1">
      <c r="A174" s="74" t="s">
        <v>269</v>
      </c>
      <c r="B174" s="53" t="s">
        <v>350</v>
      </c>
      <c r="C174" s="66" t="s">
        <v>538</v>
      </c>
      <c r="D174" s="67"/>
      <c r="E174" s="47">
        <f t="shared" si="39"/>
        <v>0</v>
      </c>
      <c r="F174" s="68">
        <f>IF($C174="820",$D174,)</f>
        <v>0</v>
      </c>
      <c r="G174" s="68">
        <f t="shared" si="63"/>
        <v>0</v>
      </c>
      <c r="H174" s="68">
        <f>IF($C174="864",$D174,)</f>
        <v>0</v>
      </c>
      <c r="I174" s="68">
        <f>IF($C174="867",$D174,)</f>
        <v>0</v>
      </c>
      <c r="J174" s="68">
        <f>IF($C174="861",$D174,)</f>
        <v>0</v>
      </c>
      <c r="K174" s="68">
        <f>IF($C174="862",$D174,)</f>
        <v>0</v>
      </c>
      <c r="L174" s="68">
        <f>IF($C174="865",$D174,)</f>
        <v>0</v>
      </c>
      <c r="M174" s="68">
        <f>IF($C174="868",$D174,)</f>
        <v>0</v>
      </c>
      <c r="N174" s="68">
        <f>IF($C174="869",$D174,)</f>
        <v>0</v>
      </c>
      <c r="O174" s="68">
        <f>IF($C174="871",$D174,)</f>
        <v>0</v>
      </c>
      <c r="P174" s="68">
        <f>IF($C174="874",$D174,)</f>
        <v>0</v>
      </c>
      <c r="Q174" s="68">
        <f>IF($C174="873",$D174,)</f>
        <v>0</v>
      </c>
      <c r="R174" s="68"/>
      <c r="S174" s="68"/>
      <c r="T174" s="68">
        <f t="shared" si="46"/>
        <v>0</v>
      </c>
      <c r="U174" s="68">
        <f>IF($C174="877",$D174,)</f>
        <v>0</v>
      </c>
      <c r="V174" s="68">
        <f>IF($C174="875",$D174,)</f>
        <v>0</v>
      </c>
      <c r="W174" s="68">
        <f>IF($C174="872",$D174,)</f>
        <v>0</v>
      </c>
      <c r="X174" s="68">
        <f>IF($C174="909",$D174,)</f>
        <v>0</v>
      </c>
      <c r="Y174" s="68">
        <f t="shared" si="62"/>
        <v>0</v>
      </c>
      <c r="Z174" s="68"/>
      <c r="AA174" s="68">
        <f t="shared" si="42"/>
        <v>0</v>
      </c>
      <c r="AB174" s="68"/>
      <c r="AC174" s="68"/>
      <c r="AD174" s="4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row>
    <row r="175" spans="1:54" collapsed="1">
      <c r="A175" s="77">
        <v>24</v>
      </c>
      <c r="B175" s="53" t="s">
        <v>362</v>
      </c>
      <c r="C175" s="66"/>
      <c r="D175" s="67"/>
      <c r="E175" s="47">
        <f t="shared" si="39"/>
        <v>0</v>
      </c>
      <c r="F175" s="68">
        <f>SUM(F176:F178)</f>
        <v>0</v>
      </c>
      <c r="G175" s="68">
        <f t="shared" si="63"/>
        <v>0</v>
      </c>
      <c r="H175" s="68">
        <f>SUM(H176:H178)</f>
        <v>0</v>
      </c>
      <c r="I175" s="68">
        <f t="shared" ref="I175:Q175" si="65">SUM(I176:I178)</f>
        <v>0</v>
      </c>
      <c r="J175" s="68">
        <f t="shared" si="65"/>
        <v>0</v>
      </c>
      <c r="K175" s="68">
        <f t="shared" si="65"/>
        <v>0</v>
      </c>
      <c r="L175" s="68">
        <f t="shared" si="65"/>
        <v>0</v>
      </c>
      <c r="M175" s="68">
        <f t="shared" si="65"/>
        <v>0</v>
      </c>
      <c r="N175" s="68">
        <f t="shared" si="65"/>
        <v>0</v>
      </c>
      <c r="O175" s="68">
        <f t="shared" si="65"/>
        <v>0</v>
      </c>
      <c r="P175" s="68">
        <f t="shared" si="65"/>
        <v>0</v>
      </c>
      <c r="Q175" s="68">
        <f t="shared" si="65"/>
        <v>0</v>
      </c>
      <c r="R175" s="68"/>
      <c r="S175" s="68"/>
      <c r="T175" s="68">
        <f t="shared" si="46"/>
        <v>0</v>
      </c>
      <c r="U175" s="68">
        <f>SUM(U176:U178)</f>
        <v>0</v>
      </c>
      <c r="V175" s="68">
        <f>SUM(V176:V178)</f>
        <v>0</v>
      </c>
      <c r="W175" s="68">
        <f>SUM(W176:W178)</f>
        <v>0</v>
      </c>
      <c r="X175" s="68">
        <f>SUM(X176:X178)</f>
        <v>0</v>
      </c>
      <c r="Y175" s="68">
        <f t="shared" si="62"/>
        <v>0</v>
      </c>
      <c r="Z175" s="68"/>
      <c r="AA175" s="68">
        <f t="shared" si="42"/>
        <v>0</v>
      </c>
      <c r="AB175" s="68"/>
      <c r="AC175" s="68"/>
      <c r="AD175" s="4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row>
    <row r="176" spans="1:54" ht="12.75" hidden="1" customHeight="1" outlineLevel="1">
      <c r="A176" s="74" t="s">
        <v>268</v>
      </c>
      <c r="B176" s="53" t="s">
        <v>363</v>
      </c>
      <c r="C176" s="66" t="s">
        <v>537</v>
      </c>
      <c r="D176" s="67"/>
      <c r="E176" s="47">
        <f t="shared" si="39"/>
        <v>0</v>
      </c>
      <c r="F176" s="68">
        <f>IF($C176="820",$D176,)</f>
        <v>0</v>
      </c>
      <c r="G176" s="68">
        <f t="shared" si="63"/>
        <v>0</v>
      </c>
      <c r="H176" s="68">
        <f>IF($C176="864",$D176,)</f>
        <v>0</v>
      </c>
      <c r="I176" s="68">
        <f>IF($C176="867",$D176,)</f>
        <v>0</v>
      </c>
      <c r="J176" s="68">
        <f>IF($C176="861",$D176,)</f>
        <v>0</v>
      </c>
      <c r="K176" s="68">
        <f>IF($C176="862",$D176,)</f>
        <v>0</v>
      </c>
      <c r="L176" s="68">
        <f>IF($C176="865",$D176,)</f>
        <v>0</v>
      </c>
      <c r="M176" s="68">
        <f>IF($C176="868",$D176,)</f>
        <v>0</v>
      </c>
      <c r="N176" s="68">
        <f>IF($C176="869",$D176,)</f>
        <v>0</v>
      </c>
      <c r="O176" s="68">
        <f>IF($C176="871",$D176,)</f>
        <v>0</v>
      </c>
      <c r="P176" s="68">
        <f>IF($C176="874",$D176,)</f>
        <v>0</v>
      </c>
      <c r="Q176" s="68">
        <f>IF($C176="873",$D176,)</f>
        <v>0</v>
      </c>
      <c r="R176" s="68"/>
      <c r="S176" s="68"/>
      <c r="T176" s="68">
        <f t="shared" si="46"/>
        <v>0</v>
      </c>
      <c r="U176" s="68">
        <f>IF($C176="877",$D176,)</f>
        <v>0</v>
      </c>
      <c r="V176" s="68">
        <f>IF($C176="875",$D176,)</f>
        <v>0</v>
      </c>
      <c r="W176" s="68">
        <f>IF($C176="872",$D176,)</f>
        <v>0</v>
      </c>
      <c r="X176" s="68">
        <f>IF($C176="909",$D176,)</f>
        <v>0</v>
      </c>
      <c r="Y176" s="68">
        <f t="shared" si="62"/>
        <v>0</v>
      </c>
      <c r="Z176" s="68"/>
      <c r="AA176" s="68">
        <f t="shared" si="42"/>
        <v>0</v>
      </c>
      <c r="AB176" s="68"/>
      <c r="AC176" s="68"/>
      <c r="AD176" s="4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row>
    <row r="177" spans="1:54" ht="25.5" hidden="1" customHeight="1" outlineLevel="1">
      <c r="A177" s="74" t="s">
        <v>269</v>
      </c>
      <c r="B177" s="53" t="s">
        <v>364</v>
      </c>
      <c r="C177" s="66" t="s">
        <v>538</v>
      </c>
      <c r="D177" s="67"/>
      <c r="E177" s="47">
        <f t="shared" si="39"/>
        <v>0</v>
      </c>
      <c r="F177" s="68">
        <f>IF($C177="820",$D177,)</f>
        <v>0</v>
      </c>
      <c r="G177" s="68">
        <f t="shared" si="63"/>
        <v>0</v>
      </c>
      <c r="H177" s="68">
        <f>IF($C177="864",$D177,)</f>
        <v>0</v>
      </c>
      <c r="I177" s="68">
        <f>IF($C177="867",$D177,)</f>
        <v>0</v>
      </c>
      <c r="J177" s="68">
        <f>IF($C177="861",$D177,)</f>
        <v>0</v>
      </c>
      <c r="K177" s="68">
        <f>IF($C177="862",$D177,)</f>
        <v>0</v>
      </c>
      <c r="L177" s="68">
        <f>IF($C177="865",$D177,)</f>
        <v>0</v>
      </c>
      <c r="M177" s="68">
        <f>IF($C177="868",$D177,)</f>
        <v>0</v>
      </c>
      <c r="N177" s="68">
        <f>IF($C177="869",$D177,)</f>
        <v>0</v>
      </c>
      <c r="O177" s="68">
        <f>IF($C177="871",$D177,)</f>
        <v>0</v>
      </c>
      <c r="P177" s="68">
        <f>IF($C177="874",$D177,)</f>
        <v>0</v>
      </c>
      <c r="Q177" s="68">
        <f>IF($C177="873",$D177,)</f>
        <v>0</v>
      </c>
      <c r="R177" s="68"/>
      <c r="S177" s="68"/>
      <c r="T177" s="68">
        <f t="shared" si="46"/>
        <v>0</v>
      </c>
      <c r="U177" s="68">
        <f>IF($C177="877",$D177,)</f>
        <v>0</v>
      </c>
      <c r="V177" s="68">
        <f>IF($C177="875",$D177,)</f>
        <v>0</v>
      </c>
      <c r="W177" s="68">
        <f>IF($C177="872",$D177,)</f>
        <v>0</v>
      </c>
      <c r="X177" s="68">
        <f>IF($C177="909",$D177,)</f>
        <v>0</v>
      </c>
      <c r="Y177" s="68">
        <f t="shared" si="62"/>
        <v>0</v>
      </c>
      <c r="Z177" s="68"/>
      <c r="AA177" s="68">
        <f t="shared" si="42"/>
        <v>0</v>
      </c>
      <c r="AB177" s="68"/>
      <c r="AC177" s="68"/>
      <c r="AD177" s="4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row>
    <row r="178" spans="1:54" ht="25.5" hidden="1" customHeight="1" outlineLevel="1">
      <c r="A178" s="74" t="s">
        <v>270</v>
      </c>
      <c r="B178" s="53" t="s">
        <v>365</v>
      </c>
      <c r="C178" s="66" t="s">
        <v>537</v>
      </c>
      <c r="D178" s="67"/>
      <c r="E178" s="47">
        <f t="shared" si="39"/>
        <v>0</v>
      </c>
      <c r="F178" s="68">
        <f>IF($C178="820",$D178,)</f>
        <v>0</v>
      </c>
      <c r="G178" s="68">
        <f t="shared" si="63"/>
        <v>0</v>
      </c>
      <c r="H178" s="68">
        <f>IF($C178="864",$D178,)</f>
        <v>0</v>
      </c>
      <c r="I178" s="68">
        <f>IF($C178="867",$D178,)</f>
        <v>0</v>
      </c>
      <c r="J178" s="68">
        <f>IF($C178="861",$D178,)</f>
        <v>0</v>
      </c>
      <c r="K178" s="68">
        <f>IF($C178="862",$D178,)</f>
        <v>0</v>
      </c>
      <c r="L178" s="68">
        <f>IF($C178="865",$D178,)</f>
        <v>0</v>
      </c>
      <c r="M178" s="68">
        <f>IF($C178="868",$D178,)</f>
        <v>0</v>
      </c>
      <c r="N178" s="68">
        <f>IF($C178="869",$D178,)</f>
        <v>0</v>
      </c>
      <c r="O178" s="68">
        <f>IF($C178="871",$D178,)</f>
        <v>0</v>
      </c>
      <c r="P178" s="68">
        <f>IF($C178="874",$D178,)</f>
        <v>0</v>
      </c>
      <c r="Q178" s="68">
        <f>IF($C178="873",$D178,)</f>
        <v>0</v>
      </c>
      <c r="R178" s="68"/>
      <c r="S178" s="68"/>
      <c r="T178" s="68">
        <f t="shared" si="46"/>
        <v>0</v>
      </c>
      <c r="U178" s="68">
        <f>IF($C178="877",$D178,)</f>
        <v>0</v>
      </c>
      <c r="V178" s="68">
        <f>IF($C178="875",$D178,)</f>
        <v>0</v>
      </c>
      <c r="W178" s="68">
        <f>IF($C178="872",$D178,)</f>
        <v>0</v>
      </c>
      <c r="X178" s="68">
        <f>IF($C178="909",$D178,)</f>
        <v>0</v>
      </c>
      <c r="Y178" s="68">
        <f t="shared" si="62"/>
        <v>0</v>
      </c>
      <c r="Z178" s="68"/>
      <c r="AA178" s="68">
        <f t="shared" si="42"/>
        <v>0</v>
      </c>
      <c r="AB178" s="68"/>
      <c r="AC178" s="68"/>
      <c r="AD178" s="4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row>
    <row r="179" spans="1:54" collapsed="1">
      <c r="A179" s="77">
        <v>25</v>
      </c>
      <c r="B179" s="53" t="s">
        <v>366</v>
      </c>
      <c r="C179" s="66"/>
      <c r="D179" s="67"/>
      <c r="E179" s="47">
        <f t="shared" si="39"/>
        <v>0</v>
      </c>
      <c r="F179" s="68">
        <f>SUM(F180:F180)</f>
        <v>0</v>
      </c>
      <c r="G179" s="68">
        <f t="shared" si="63"/>
        <v>0</v>
      </c>
      <c r="H179" s="68">
        <f>SUM(H180:H180)</f>
        <v>0</v>
      </c>
      <c r="I179" s="68">
        <f t="shared" ref="I179:U179" si="66">SUM(I180:I180)</f>
        <v>0</v>
      </c>
      <c r="J179" s="68">
        <f t="shared" si="66"/>
        <v>0</v>
      </c>
      <c r="K179" s="68">
        <f t="shared" si="66"/>
        <v>0</v>
      </c>
      <c r="L179" s="68">
        <f t="shared" si="66"/>
        <v>0</v>
      </c>
      <c r="M179" s="68">
        <f t="shared" si="66"/>
        <v>0</v>
      </c>
      <c r="N179" s="68">
        <f t="shared" si="66"/>
        <v>0</v>
      </c>
      <c r="O179" s="68">
        <f t="shared" si="66"/>
        <v>0</v>
      </c>
      <c r="P179" s="68">
        <f t="shared" si="66"/>
        <v>0</v>
      </c>
      <c r="Q179" s="68">
        <f t="shared" si="66"/>
        <v>0</v>
      </c>
      <c r="R179" s="68"/>
      <c r="S179" s="68"/>
      <c r="T179" s="68">
        <f t="shared" si="46"/>
        <v>0</v>
      </c>
      <c r="U179" s="68">
        <f t="shared" si="66"/>
        <v>0</v>
      </c>
      <c r="V179" s="68">
        <f>SUM(V180:V180)</f>
        <v>0</v>
      </c>
      <c r="W179" s="68">
        <f>SUM(W180:W180)</f>
        <v>0</v>
      </c>
      <c r="X179" s="68">
        <f>SUM(X180:X180)</f>
        <v>0</v>
      </c>
      <c r="Y179" s="68">
        <f t="shared" si="62"/>
        <v>0</v>
      </c>
      <c r="Z179" s="68"/>
      <c r="AA179" s="68">
        <f t="shared" si="42"/>
        <v>0</v>
      </c>
      <c r="AB179" s="68"/>
      <c r="AC179" s="68"/>
      <c r="AD179" s="4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row>
    <row r="180" spans="1:54" ht="12.75" hidden="1" customHeight="1" outlineLevel="1">
      <c r="A180" s="69" t="s">
        <v>268</v>
      </c>
      <c r="B180" s="53" t="s">
        <v>313</v>
      </c>
      <c r="C180" s="66" t="s">
        <v>537</v>
      </c>
      <c r="D180" s="67"/>
      <c r="E180" s="47">
        <f t="shared" si="39"/>
        <v>0</v>
      </c>
      <c r="F180" s="68">
        <f>IF($C180="820",$D180,)</f>
        <v>0</v>
      </c>
      <c r="G180" s="68">
        <f t="shared" si="63"/>
        <v>0</v>
      </c>
      <c r="H180" s="68">
        <f>IF($C180="864",$D180,)</f>
        <v>0</v>
      </c>
      <c r="I180" s="68">
        <f>IF($C180="867",$D180,)</f>
        <v>0</v>
      </c>
      <c r="J180" s="68">
        <f>IF($C180="861",$D180,)</f>
        <v>0</v>
      </c>
      <c r="K180" s="68">
        <f>IF($C180="862",$D180,)</f>
        <v>0</v>
      </c>
      <c r="L180" s="68">
        <f>IF($C180="865",$D180,)</f>
        <v>0</v>
      </c>
      <c r="M180" s="68">
        <f>IF($C180="868",$D180,)</f>
        <v>0</v>
      </c>
      <c r="N180" s="68">
        <f>IF($C180="869",$D180,)</f>
        <v>0</v>
      </c>
      <c r="O180" s="68">
        <f>IF($C180="871",$D180,)</f>
        <v>0</v>
      </c>
      <c r="P180" s="68">
        <f>IF($C180="874",$D180,)</f>
        <v>0</v>
      </c>
      <c r="Q180" s="68">
        <f>IF($C180="873",$D180,)</f>
        <v>0</v>
      </c>
      <c r="R180" s="68"/>
      <c r="S180" s="68"/>
      <c r="T180" s="68">
        <f t="shared" si="46"/>
        <v>0</v>
      </c>
      <c r="U180" s="68">
        <f>IF($C180="877",$D180,)</f>
        <v>0</v>
      </c>
      <c r="V180" s="68">
        <f>IF($C180="875",$D180,)</f>
        <v>0</v>
      </c>
      <c r="W180" s="68">
        <f>IF($C180="872",$D180,)</f>
        <v>0</v>
      </c>
      <c r="X180" s="68">
        <f>IF($C180="909",$D180,)</f>
        <v>0</v>
      </c>
      <c r="Y180" s="68">
        <f t="shared" si="62"/>
        <v>0</v>
      </c>
      <c r="Z180" s="68"/>
      <c r="AA180" s="68">
        <f t="shared" si="42"/>
        <v>0</v>
      </c>
      <c r="AB180" s="68"/>
      <c r="AC180" s="68"/>
      <c r="AD180" s="4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row>
    <row r="181" spans="1:54" collapsed="1">
      <c r="A181" s="77">
        <v>26</v>
      </c>
      <c r="B181" s="53" t="s">
        <v>367</v>
      </c>
      <c r="C181" s="66"/>
      <c r="D181" s="67"/>
      <c r="E181" s="47">
        <f t="shared" si="39"/>
        <v>0</v>
      </c>
      <c r="F181" s="68">
        <f t="shared" ref="F181:Y181" si="67">F182+F183</f>
        <v>0</v>
      </c>
      <c r="G181" s="68">
        <f t="shared" si="67"/>
        <v>0</v>
      </c>
      <c r="H181" s="68">
        <f t="shared" si="67"/>
        <v>0</v>
      </c>
      <c r="I181" s="68">
        <f t="shared" si="67"/>
        <v>0</v>
      </c>
      <c r="J181" s="68">
        <f t="shared" si="67"/>
        <v>0</v>
      </c>
      <c r="K181" s="68">
        <f t="shared" si="67"/>
        <v>0</v>
      </c>
      <c r="L181" s="68">
        <f t="shared" si="67"/>
        <v>0</v>
      </c>
      <c r="M181" s="68">
        <f t="shared" si="67"/>
        <v>0</v>
      </c>
      <c r="N181" s="68">
        <f t="shared" si="67"/>
        <v>0</v>
      </c>
      <c r="O181" s="68">
        <f t="shared" si="67"/>
        <v>0</v>
      </c>
      <c r="P181" s="68">
        <f t="shared" si="67"/>
        <v>0</v>
      </c>
      <c r="Q181" s="68">
        <f t="shared" si="67"/>
        <v>0</v>
      </c>
      <c r="R181" s="68">
        <f t="shared" si="67"/>
        <v>0</v>
      </c>
      <c r="S181" s="68">
        <f t="shared" si="67"/>
        <v>0</v>
      </c>
      <c r="T181" s="68">
        <f t="shared" si="67"/>
        <v>0</v>
      </c>
      <c r="U181" s="68">
        <f t="shared" si="67"/>
        <v>0</v>
      </c>
      <c r="V181" s="68">
        <f t="shared" si="67"/>
        <v>0</v>
      </c>
      <c r="W181" s="68">
        <f t="shared" si="67"/>
        <v>0</v>
      </c>
      <c r="X181" s="68">
        <f t="shared" si="67"/>
        <v>0</v>
      </c>
      <c r="Y181" s="68">
        <f t="shared" si="67"/>
        <v>0</v>
      </c>
      <c r="Z181" s="68"/>
      <c r="AA181" s="68">
        <f t="shared" si="42"/>
        <v>0</v>
      </c>
      <c r="AB181" s="68"/>
      <c r="AC181" s="68"/>
      <c r="AD181" s="4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row>
    <row r="182" spans="1:54" ht="12.75" hidden="1" customHeight="1" outlineLevel="1">
      <c r="A182" s="74" t="s">
        <v>268</v>
      </c>
      <c r="B182" s="53" t="s">
        <v>313</v>
      </c>
      <c r="C182" s="66" t="s">
        <v>537</v>
      </c>
      <c r="D182" s="67"/>
      <c r="E182" s="47">
        <f t="shared" si="39"/>
        <v>0</v>
      </c>
      <c r="F182" s="68">
        <f>IF($C182="820",$D182,)</f>
        <v>0</v>
      </c>
      <c r="G182" s="68">
        <f t="shared" si="63"/>
        <v>0</v>
      </c>
      <c r="H182" s="68">
        <f>IF($C182="864",$D182,)</f>
        <v>0</v>
      </c>
      <c r="I182" s="68">
        <f>IF($C182="867",$D182,)</f>
        <v>0</v>
      </c>
      <c r="J182" s="68">
        <f>IF($C182="861",$D182,)</f>
        <v>0</v>
      </c>
      <c r="K182" s="68">
        <f>IF($C182="862",$D182,)</f>
        <v>0</v>
      </c>
      <c r="L182" s="68">
        <f>IF($C182="865",$D182,)</f>
        <v>0</v>
      </c>
      <c r="M182" s="68">
        <f>IF($C182="868",$D182,)</f>
        <v>0</v>
      </c>
      <c r="N182" s="68">
        <f>IF($C182="869",$D182,)</f>
        <v>0</v>
      </c>
      <c r="O182" s="68">
        <f>IF($C182="871",$D182,)</f>
        <v>0</v>
      </c>
      <c r="P182" s="68">
        <f>IF($C182="874",$D182,)</f>
        <v>0</v>
      </c>
      <c r="Q182" s="68">
        <f>IF($C182="873",$D182,)</f>
        <v>0</v>
      </c>
      <c r="R182" s="68"/>
      <c r="S182" s="68"/>
      <c r="T182" s="68">
        <f t="shared" si="46"/>
        <v>0</v>
      </c>
      <c r="U182" s="68">
        <f>IF($C182="877",$D182,)</f>
        <v>0</v>
      </c>
      <c r="V182" s="68">
        <f>IF($C182="875",$D182,)</f>
        <v>0</v>
      </c>
      <c r="W182" s="68">
        <f>IF($C182="872",$D182,)</f>
        <v>0</v>
      </c>
      <c r="X182" s="68">
        <f>IF($C182="909",$D182,)</f>
        <v>0</v>
      </c>
      <c r="Y182" s="68">
        <f t="shared" ref="Y182:Y200" si="68">IF(OR($C182="932",$C182="934",$C182="949"),$D182,)</f>
        <v>0</v>
      </c>
      <c r="Z182" s="68"/>
      <c r="AA182" s="68">
        <f t="shared" si="42"/>
        <v>0</v>
      </c>
      <c r="AB182" s="68"/>
      <c r="AC182" s="68"/>
      <c r="AD182" s="4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row>
    <row r="183" spans="1:54" ht="12.75" hidden="1" customHeight="1" outlineLevel="1">
      <c r="A183" s="74" t="s">
        <v>270</v>
      </c>
      <c r="B183" s="53" t="s">
        <v>368</v>
      </c>
      <c r="C183" s="66" t="s">
        <v>537</v>
      </c>
      <c r="D183" s="67"/>
      <c r="E183" s="47">
        <f t="shared" si="39"/>
        <v>0</v>
      </c>
      <c r="F183" s="68">
        <f>IF($C183="820",$D183,)</f>
        <v>0</v>
      </c>
      <c r="G183" s="68">
        <f t="shared" si="63"/>
        <v>0</v>
      </c>
      <c r="H183" s="68">
        <f>IF($C183="864",$D183,)</f>
        <v>0</v>
      </c>
      <c r="I183" s="68">
        <f>IF($C183="867",$D183,)</f>
        <v>0</v>
      </c>
      <c r="J183" s="68">
        <f>IF($C183="861",$D183,)</f>
        <v>0</v>
      </c>
      <c r="K183" s="68">
        <f>IF($C183="862",$D183,)</f>
        <v>0</v>
      </c>
      <c r="L183" s="68">
        <f>IF($C183="865",$D183,)</f>
        <v>0</v>
      </c>
      <c r="M183" s="68">
        <f>IF($C183="868",$D183,)</f>
        <v>0</v>
      </c>
      <c r="N183" s="68">
        <f>IF($C183="869",$D183,)</f>
        <v>0</v>
      </c>
      <c r="O183" s="68">
        <f>IF($C183="871",$D183,)</f>
        <v>0</v>
      </c>
      <c r="P183" s="68">
        <f>IF($C183="874",$D183,)</f>
        <v>0</v>
      </c>
      <c r="Q183" s="68">
        <f>IF($C183="873",$D183,)</f>
        <v>0</v>
      </c>
      <c r="R183" s="68"/>
      <c r="S183" s="68"/>
      <c r="T183" s="68">
        <f t="shared" si="46"/>
        <v>0</v>
      </c>
      <c r="U183" s="68">
        <f>IF($C183="877",$D183,)</f>
        <v>0</v>
      </c>
      <c r="V183" s="68">
        <f>IF($C183="875",$D183,)</f>
        <v>0</v>
      </c>
      <c r="W183" s="68">
        <f>IF($C183="872",$D183,)</f>
        <v>0</v>
      </c>
      <c r="X183" s="68">
        <f>IF($C183="909",$D183,)</f>
        <v>0</v>
      </c>
      <c r="Y183" s="68">
        <f t="shared" si="68"/>
        <v>0</v>
      </c>
      <c r="Z183" s="68"/>
      <c r="AA183" s="68">
        <f t="shared" si="42"/>
        <v>0</v>
      </c>
      <c r="AB183" s="68"/>
      <c r="AC183" s="68"/>
      <c r="AD183" s="4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row>
    <row r="184" spans="1:54" collapsed="1">
      <c r="A184" s="77">
        <v>27</v>
      </c>
      <c r="B184" s="53" t="s">
        <v>369</v>
      </c>
      <c r="C184" s="66" t="s">
        <v>537</v>
      </c>
      <c r="D184" s="67"/>
      <c r="E184" s="47">
        <f t="shared" si="39"/>
        <v>0</v>
      </c>
      <c r="F184" s="68">
        <f>IF($C184="820",$D184,)</f>
        <v>0</v>
      </c>
      <c r="G184" s="68">
        <f t="shared" si="63"/>
        <v>0</v>
      </c>
      <c r="H184" s="68">
        <f>IF($C184="864",$D184,)</f>
        <v>0</v>
      </c>
      <c r="I184" s="68">
        <f>IF($C184="867",$D184,)</f>
        <v>0</v>
      </c>
      <c r="J184" s="68">
        <f>IF($C184="861",$D184,)</f>
        <v>0</v>
      </c>
      <c r="K184" s="68">
        <f>IF($C184="862",$D184,)</f>
        <v>0</v>
      </c>
      <c r="L184" s="68">
        <f>IF($C184="865",$D184,)</f>
        <v>0</v>
      </c>
      <c r="M184" s="68">
        <f>IF($C184="868",$D184,)</f>
        <v>0</v>
      </c>
      <c r="N184" s="68">
        <f>IF($C184="869",$D184,)</f>
        <v>0</v>
      </c>
      <c r="O184" s="68">
        <f>IF($C184="871",$D184,)</f>
        <v>0</v>
      </c>
      <c r="P184" s="68">
        <f>IF($C184="874",$D184,)</f>
        <v>0</v>
      </c>
      <c r="Q184" s="68">
        <f>IF($C184="873",$D184,)</f>
        <v>0</v>
      </c>
      <c r="R184" s="68"/>
      <c r="S184" s="68"/>
      <c r="T184" s="68">
        <f t="shared" si="46"/>
        <v>0</v>
      </c>
      <c r="U184" s="68">
        <f>IF($C184="877",$D184,)</f>
        <v>0</v>
      </c>
      <c r="V184" s="68">
        <f>IF($C184="875",$D184,)</f>
        <v>0</v>
      </c>
      <c r="W184" s="68">
        <f>IF($C184="872",$D184,)</f>
        <v>0</v>
      </c>
      <c r="X184" s="68">
        <f>IF($C184="909",$D184,)</f>
        <v>0</v>
      </c>
      <c r="Y184" s="68">
        <f t="shared" si="68"/>
        <v>0</v>
      </c>
      <c r="Z184" s="68"/>
      <c r="AA184" s="68">
        <f t="shared" si="42"/>
        <v>0</v>
      </c>
      <c r="AB184" s="68"/>
      <c r="AC184" s="68"/>
      <c r="AD184" s="4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row>
    <row r="185" spans="1:54">
      <c r="A185" s="77">
        <v>28</v>
      </c>
      <c r="B185" s="53" t="s">
        <v>370</v>
      </c>
      <c r="C185" s="66"/>
      <c r="D185" s="67"/>
      <c r="E185" s="47">
        <f t="shared" si="39"/>
        <v>0</v>
      </c>
      <c r="F185" s="68">
        <f>SUM(F186:F187)</f>
        <v>0</v>
      </c>
      <c r="G185" s="68">
        <f t="shared" si="63"/>
        <v>0</v>
      </c>
      <c r="H185" s="68">
        <f t="shared" ref="H185:Q185" si="69">SUM(H186:H187)</f>
        <v>0</v>
      </c>
      <c r="I185" s="68">
        <f t="shared" si="69"/>
        <v>0</v>
      </c>
      <c r="J185" s="68">
        <f t="shared" si="69"/>
        <v>0</v>
      </c>
      <c r="K185" s="68">
        <f t="shared" si="69"/>
        <v>0</v>
      </c>
      <c r="L185" s="68">
        <f t="shared" si="69"/>
        <v>0</v>
      </c>
      <c r="M185" s="68">
        <f t="shared" si="69"/>
        <v>0</v>
      </c>
      <c r="N185" s="68">
        <f t="shared" si="69"/>
        <v>0</v>
      </c>
      <c r="O185" s="68">
        <f t="shared" si="69"/>
        <v>0</v>
      </c>
      <c r="P185" s="68">
        <f t="shared" si="69"/>
        <v>0</v>
      </c>
      <c r="Q185" s="68">
        <f t="shared" si="69"/>
        <v>0</v>
      </c>
      <c r="R185" s="68"/>
      <c r="S185" s="68"/>
      <c r="T185" s="68">
        <f t="shared" si="46"/>
        <v>0</v>
      </c>
      <c r="U185" s="68">
        <f>SUM(U186:U187)</f>
        <v>0</v>
      </c>
      <c r="V185" s="68">
        <f>SUM(V186:V187)</f>
        <v>0</v>
      </c>
      <c r="W185" s="68">
        <f>SUM(W186:W187)</f>
        <v>0</v>
      </c>
      <c r="X185" s="68">
        <f>SUM(X186:X187)</f>
        <v>0</v>
      </c>
      <c r="Y185" s="68">
        <f t="shared" si="68"/>
        <v>0</v>
      </c>
      <c r="Z185" s="68"/>
      <c r="AA185" s="68">
        <f t="shared" si="42"/>
        <v>0</v>
      </c>
      <c r="AB185" s="68"/>
      <c r="AC185" s="68"/>
      <c r="AD185" s="4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row>
    <row r="186" spans="1:54" ht="12.75" hidden="1" customHeight="1" outlineLevel="1">
      <c r="A186" s="77">
        <v>28</v>
      </c>
      <c r="B186" s="65" t="s">
        <v>371</v>
      </c>
      <c r="C186" s="66" t="s">
        <v>537</v>
      </c>
      <c r="D186" s="67"/>
      <c r="E186" s="47">
        <f t="shared" si="39"/>
        <v>0</v>
      </c>
      <c r="F186" s="68">
        <f>IF($C186="820",$D186,)</f>
        <v>0</v>
      </c>
      <c r="G186" s="68">
        <f t="shared" si="63"/>
        <v>0</v>
      </c>
      <c r="H186" s="68">
        <f>IF($C186="864",$D186,)</f>
        <v>0</v>
      </c>
      <c r="I186" s="68">
        <f>IF($C186="867",$D186,)</f>
        <v>0</v>
      </c>
      <c r="J186" s="68">
        <f>IF($C186="861",$D186,)</f>
        <v>0</v>
      </c>
      <c r="K186" s="68">
        <f>IF($C186="862",$D186,)</f>
        <v>0</v>
      </c>
      <c r="L186" s="68">
        <f>IF($C186="865",$D186,)</f>
        <v>0</v>
      </c>
      <c r="M186" s="68">
        <f>IF($C186="868",$D186,)</f>
        <v>0</v>
      </c>
      <c r="N186" s="68">
        <f>IF($C186="869",$D186,)</f>
        <v>0</v>
      </c>
      <c r="O186" s="68">
        <f>IF($C186="871",$D186,)</f>
        <v>0</v>
      </c>
      <c r="P186" s="68">
        <f>IF($C186="874",$D186,)</f>
        <v>0</v>
      </c>
      <c r="Q186" s="68">
        <f>IF($C186="873",$D186,)</f>
        <v>0</v>
      </c>
      <c r="R186" s="68"/>
      <c r="S186" s="68"/>
      <c r="T186" s="68">
        <f t="shared" si="46"/>
        <v>0</v>
      </c>
      <c r="U186" s="68">
        <f>IF($C186="877",$D186,)</f>
        <v>0</v>
      </c>
      <c r="V186" s="68">
        <f>IF($C186="875",$D186,)</f>
        <v>0</v>
      </c>
      <c r="W186" s="68">
        <f>IF($C186="872",$D186,)</f>
        <v>0</v>
      </c>
      <c r="X186" s="68">
        <f>IF($C186="909",$D186,)</f>
        <v>0</v>
      </c>
      <c r="Y186" s="68">
        <f t="shared" si="68"/>
        <v>0</v>
      </c>
      <c r="Z186" s="68"/>
      <c r="AA186" s="68">
        <f t="shared" si="42"/>
        <v>0</v>
      </c>
      <c r="AB186" s="68"/>
      <c r="AC186" s="68"/>
      <c r="AD186" s="4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row>
    <row r="187" spans="1:54" ht="12.75" hidden="1" customHeight="1" outlineLevel="1">
      <c r="A187" s="77">
        <v>28</v>
      </c>
      <c r="B187" s="78" t="s">
        <v>350</v>
      </c>
      <c r="C187" s="66" t="s">
        <v>538</v>
      </c>
      <c r="D187" s="67"/>
      <c r="E187" s="47">
        <f t="shared" si="39"/>
        <v>0</v>
      </c>
      <c r="F187" s="68">
        <f>IF($C187="820",$D187,)</f>
        <v>0</v>
      </c>
      <c r="G187" s="68">
        <f t="shared" si="63"/>
        <v>0</v>
      </c>
      <c r="H187" s="68">
        <f>IF($C187="864",$D187,)</f>
        <v>0</v>
      </c>
      <c r="I187" s="68">
        <f>IF($C187="867",$D187,)</f>
        <v>0</v>
      </c>
      <c r="J187" s="68">
        <f>IF($C187="861",$D187,)</f>
        <v>0</v>
      </c>
      <c r="K187" s="68">
        <f>IF($C187="862",$D187,)</f>
        <v>0</v>
      </c>
      <c r="L187" s="68">
        <f>IF($C187="865",$D187,)</f>
        <v>0</v>
      </c>
      <c r="M187" s="68">
        <f>IF($C187="868",$D187,)</f>
        <v>0</v>
      </c>
      <c r="N187" s="68">
        <f>IF($C187="869",$D187,)</f>
        <v>0</v>
      </c>
      <c r="O187" s="68">
        <f>IF($C187="871",$D187,)</f>
        <v>0</v>
      </c>
      <c r="P187" s="68">
        <f>IF($C187="874",$D187,)</f>
        <v>0</v>
      </c>
      <c r="Q187" s="68">
        <f>IF($C187="873",$D187,)</f>
        <v>0</v>
      </c>
      <c r="R187" s="68"/>
      <c r="S187" s="68"/>
      <c r="T187" s="68">
        <f t="shared" si="46"/>
        <v>0</v>
      </c>
      <c r="U187" s="68">
        <f>IF($C187="877",$D187,)</f>
        <v>0</v>
      </c>
      <c r="V187" s="68">
        <f>IF($C187="875",$D187,)</f>
        <v>0</v>
      </c>
      <c r="W187" s="68">
        <f>IF($C187="872",$D187,)</f>
        <v>0</v>
      </c>
      <c r="X187" s="68">
        <f>IF($C187="909",$D187,)</f>
        <v>0</v>
      </c>
      <c r="Y187" s="68">
        <f t="shared" si="68"/>
        <v>0</v>
      </c>
      <c r="Z187" s="68"/>
      <c r="AA187" s="68">
        <f t="shared" si="42"/>
        <v>0</v>
      </c>
      <c r="AB187" s="68"/>
      <c r="AC187" s="68"/>
      <c r="AD187" s="4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row>
    <row r="188" spans="1:54" collapsed="1">
      <c r="A188" s="77">
        <v>29</v>
      </c>
      <c r="B188" s="53" t="s">
        <v>372</v>
      </c>
      <c r="C188" s="66" t="s">
        <v>537</v>
      </c>
      <c r="D188" s="67"/>
      <c r="E188" s="47">
        <f t="shared" si="39"/>
        <v>0</v>
      </c>
      <c r="F188" s="68">
        <f>IF($C188="820",$D188,)</f>
        <v>0</v>
      </c>
      <c r="G188" s="68">
        <f t="shared" si="63"/>
        <v>0</v>
      </c>
      <c r="H188" s="68">
        <f>IF($C188="864",$D188,)</f>
        <v>0</v>
      </c>
      <c r="I188" s="68">
        <f>IF($C188="867",$D188,)</f>
        <v>0</v>
      </c>
      <c r="J188" s="68">
        <f>IF($C188="861",$D188,)</f>
        <v>0</v>
      </c>
      <c r="K188" s="68">
        <f>IF($C188="862",$D188,)</f>
        <v>0</v>
      </c>
      <c r="L188" s="68">
        <f>IF($C188="865",$D188,)</f>
        <v>0</v>
      </c>
      <c r="M188" s="68">
        <f>IF($C188="868",$D188,)</f>
        <v>0</v>
      </c>
      <c r="N188" s="68">
        <f>IF($C188="869",$D188,)</f>
        <v>0</v>
      </c>
      <c r="O188" s="68">
        <f>IF($C188="871",$D188,)</f>
        <v>0</v>
      </c>
      <c r="P188" s="68">
        <f>IF($C188="874",$D188,)</f>
        <v>0</v>
      </c>
      <c r="Q188" s="68">
        <f>IF($C188="873",$D188,)</f>
        <v>0</v>
      </c>
      <c r="R188" s="68"/>
      <c r="S188" s="68"/>
      <c r="T188" s="68">
        <f t="shared" si="46"/>
        <v>0</v>
      </c>
      <c r="U188" s="68">
        <f>IF($C188="877",$D188,)</f>
        <v>0</v>
      </c>
      <c r="V188" s="68">
        <f>IF($C188="875",$D188,)</f>
        <v>0</v>
      </c>
      <c r="W188" s="68">
        <f>IF($C188="872",$D188,)</f>
        <v>0</v>
      </c>
      <c r="X188" s="68">
        <f>IF($C188="909",$D188,)</f>
        <v>0</v>
      </c>
      <c r="Y188" s="68">
        <f t="shared" si="68"/>
        <v>0</v>
      </c>
      <c r="Z188" s="68"/>
      <c r="AA188" s="68">
        <f t="shared" si="42"/>
        <v>0</v>
      </c>
      <c r="AB188" s="68"/>
      <c r="AC188" s="68"/>
      <c r="AD188" s="4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row>
    <row r="189" spans="1:54">
      <c r="A189" s="77">
        <v>30</v>
      </c>
      <c r="B189" s="53" t="s">
        <v>373</v>
      </c>
      <c r="C189" s="66"/>
      <c r="D189" s="67"/>
      <c r="E189" s="47">
        <f t="shared" si="39"/>
        <v>0</v>
      </c>
      <c r="F189" s="68">
        <f t="shared" ref="F189" si="70">F190+F191</f>
        <v>0</v>
      </c>
      <c r="G189" s="68">
        <f t="shared" si="63"/>
        <v>0</v>
      </c>
      <c r="H189" s="68">
        <f>H190+H191</f>
        <v>0</v>
      </c>
      <c r="I189" s="68">
        <f t="shared" ref="I189:Q189" si="71">I190+I191</f>
        <v>0</v>
      </c>
      <c r="J189" s="68">
        <f t="shared" si="71"/>
        <v>0</v>
      </c>
      <c r="K189" s="68">
        <f t="shared" si="71"/>
        <v>0</v>
      </c>
      <c r="L189" s="68">
        <f t="shared" si="71"/>
        <v>0</v>
      </c>
      <c r="M189" s="68">
        <f t="shared" si="71"/>
        <v>0</v>
      </c>
      <c r="N189" s="68">
        <f t="shared" si="71"/>
        <v>0</v>
      </c>
      <c r="O189" s="68">
        <f t="shared" si="71"/>
        <v>0</v>
      </c>
      <c r="P189" s="68">
        <f t="shared" si="71"/>
        <v>0</v>
      </c>
      <c r="Q189" s="68">
        <f t="shared" si="71"/>
        <v>0</v>
      </c>
      <c r="R189" s="68"/>
      <c r="S189" s="68"/>
      <c r="T189" s="68">
        <f t="shared" si="46"/>
        <v>0</v>
      </c>
      <c r="U189" s="68">
        <f>U190+U191</f>
        <v>0</v>
      </c>
      <c r="V189" s="68">
        <f>V190+V191</f>
        <v>0</v>
      </c>
      <c r="W189" s="68">
        <f>W190+W191</f>
        <v>0</v>
      </c>
      <c r="X189" s="68">
        <f>X190+X191</f>
        <v>0</v>
      </c>
      <c r="Y189" s="68">
        <f t="shared" si="68"/>
        <v>0</v>
      </c>
      <c r="Z189" s="68"/>
      <c r="AA189" s="68">
        <f t="shared" si="42"/>
        <v>0</v>
      </c>
      <c r="AB189" s="68"/>
      <c r="AC189" s="68"/>
      <c r="AD189" s="4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row>
    <row r="190" spans="1:54" ht="12.75" hidden="1" customHeight="1" outlineLevel="1">
      <c r="A190" s="77">
        <v>28</v>
      </c>
      <c r="B190" s="65" t="s">
        <v>371</v>
      </c>
      <c r="C190" s="66" t="s">
        <v>537</v>
      </c>
      <c r="D190" s="67"/>
      <c r="E190" s="47">
        <f t="shared" si="39"/>
        <v>0</v>
      </c>
      <c r="F190" s="68">
        <f>IF($C190="820",$D190,)</f>
        <v>0</v>
      </c>
      <c r="G190" s="68">
        <f t="shared" si="63"/>
        <v>0</v>
      </c>
      <c r="H190" s="68">
        <f>IF($C190="864",$D190,)</f>
        <v>0</v>
      </c>
      <c r="I190" s="68">
        <f>IF($C190="867",$D190,)</f>
        <v>0</v>
      </c>
      <c r="J190" s="68">
        <f>IF($C190="861",$D190,)</f>
        <v>0</v>
      </c>
      <c r="K190" s="68">
        <f>IF($C190="862",$D190,)</f>
        <v>0</v>
      </c>
      <c r="L190" s="68">
        <f>IF($C190="865",$D190,)</f>
        <v>0</v>
      </c>
      <c r="M190" s="68">
        <f>IF($C190="868",$D190,)</f>
        <v>0</v>
      </c>
      <c r="N190" s="68">
        <f>IF($C190="869",$D190,)</f>
        <v>0</v>
      </c>
      <c r="O190" s="68">
        <f>IF($C190="871",$D190,)</f>
        <v>0</v>
      </c>
      <c r="P190" s="68">
        <f>IF($C190="874",$D190,)</f>
        <v>0</v>
      </c>
      <c r="Q190" s="68">
        <f>IF($C190="873",$D190,)</f>
        <v>0</v>
      </c>
      <c r="R190" s="68"/>
      <c r="S190" s="68"/>
      <c r="T190" s="68">
        <f t="shared" si="46"/>
        <v>0</v>
      </c>
      <c r="U190" s="68">
        <f>IF($C190="877",$D190,)</f>
        <v>0</v>
      </c>
      <c r="V190" s="68">
        <f>IF($C190="875",$D190,)</f>
        <v>0</v>
      </c>
      <c r="W190" s="68">
        <f>IF($C190="872",$D190,)</f>
        <v>0</v>
      </c>
      <c r="X190" s="68">
        <f>IF($C190="909",$D190,)</f>
        <v>0</v>
      </c>
      <c r="Y190" s="68">
        <f t="shared" si="68"/>
        <v>0</v>
      </c>
      <c r="Z190" s="68"/>
      <c r="AA190" s="68">
        <f t="shared" si="42"/>
        <v>0</v>
      </c>
      <c r="AB190" s="68"/>
      <c r="AC190" s="68"/>
      <c r="AD190" s="4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row>
    <row r="191" spans="1:54" ht="12.75" hidden="1" customHeight="1" outlineLevel="1">
      <c r="A191" s="77">
        <v>28</v>
      </c>
      <c r="B191" s="78" t="s">
        <v>350</v>
      </c>
      <c r="C191" s="66" t="s">
        <v>538</v>
      </c>
      <c r="D191" s="67"/>
      <c r="E191" s="47">
        <f t="shared" si="39"/>
        <v>0</v>
      </c>
      <c r="F191" s="68">
        <f>IF($C191="820",$D191,)</f>
        <v>0</v>
      </c>
      <c r="G191" s="68">
        <f t="shared" si="63"/>
        <v>0</v>
      </c>
      <c r="H191" s="68">
        <f>IF($C191="864",$D191,)</f>
        <v>0</v>
      </c>
      <c r="I191" s="68">
        <f>IF($C191="867",$D191,)</f>
        <v>0</v>
      </c>
      <c r="J191" s="68">
        <f>IF($C191="861",$D191,)</f>
        <v>0</v>
      </c>
      <c r="K191" s="68">
        <f>IF($C191="862",$D191,)</f>
        <v>0</v>
      </c>
      <c r="L191" s="68">
        <f>IF($C191="865",$D191,)</f>
        <v>0</v>
      </c>
      <c r="M191" s="68">
        <f>IF($C191="868",$D191,)</f>
        <v>0</v>
      </c>
      <c r="N191" s="68">
        <f>IF($C191="869",$D191,)</f>
        <v>0</v>
      </c>
      <c r="O191" s="68">
        <f>IF($C191="871",$D191,)</f>
        <v>0</v>
      </c>
      <c r="P191" s="68">
        <f>IF($C191="874",$D191,)</f>
        <v>0</v>
      </c>
      <c r="Q191" s="68">
        <f>IF($C191="873",$D191,)</f>
        <v>0</v>
      </c>
      <c r="R191" s="68"/>
      <c r="S191" s="68"/>
      <c r="T191" s="68">
        <f t="shared" si="46"/>
        <v>0</v>
      </c>
      <c r="U191" s="68">
        <f>IF($C191="877",$D191,)</f>
        <v>0</v>
      </c>
      <c r="V191" s="68">
        <f>IF($C191="875",$D191,)</f>
        <v>0</v>
      </c>
      <c r="W191" s="68">
        <f>IF($C191="872",$D191,)</f>
        <v>0</v>
      </c>
      <c r="X191" s="68">
        <f>IF($C191="909",$D191,)</f>
        <v>0</v>
      </c>
      <c r="Y191" s="68">
        <f t="shared" si="68"/>
        <v>0</v>
      </c>
      <c r="Z191" s="68"/>
      <c r="AA191" s="68">
        <f t="shared" si="42"/>
        <v>0</v>
      </c>
      <c r="AB191" s="68"/>
      <c r="AC191" s="68"/>
      <c r="AD191" s="4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row>
    <row r="192" spans="1:54" collapsed="1">
      <c r="A192" s="77">
        <v>31</v>
      </c>
      <c r="B192" s="53" t="s">
        <v>374</v>
      </c>
      <c r="C192" s="66" t="s">
        <v>537</v>
      </c>
      <c r="D192" s="67"/>
      <c r="E192" s="47">
        <f t="shared" si="39"/>
        <v>0</v>
      </c>
      <c r="F192" s="68">
        <f>IF($C192="820",$D192,)</f>
        <v>0</v>
      </c>
      <c r="G192" s="68">
        <f t="shared" si="63"/>
        <v>0</v>
      </c>
      <c r="H192" s="68">
        <f>IF($C192="864",$D192,)</f>
        <v>0</v>
      </c>
      <c r="I192" s="68">
        <f>IF($C192="867",$D192,)</f>
        <v>0</v>
      </c>
      <c r="J192" s="68">
        <f>IF($C192="861",$D192,)</f>
        <v>0</v>
      </c>
      <c r="K192" s="68">
        <f>IF($C192="862",$D192,)</f>
        <v>0</v>
      </c>
      <c r="L192" s="68">
        <f>IF($C192="865",$D192,)</f>
        <v>0</v>
      </c>
      <c r="M192" s="68">
        <f>IF($C192="868",$D192,)</f>
        <v>0</v>
      </c>
      <c r="N192" s="68">
        <f>IF($C192="869",$D192,)</f>
        <v>0</v>
      </c>
      <c r="O192" s="68">
        <f>IF($C192="871",$D192,)</f>
        <v>0</v>
      </c>
      <c r="P192" s="68">
        <f>IF($C192="874",$D192,)</f>
        <v>0</v>
      </c>
      <c r="Q192" s="68">
        <f>IF($C192="873",$D192,)</f>
        <v>0</v>
      </c>
      <c r="R192" s="68"/>
      <c r="S192" s="68"/>
      <c r="T192" s="68">
        <f t="shared" si="46"/>
        <v>0</v>
      </c>
      <c r="U192" s="68">
        <f>IF($C192="877",$D192,)</f>
        <v>0</v>
      </c>
      <c r="V192" s="68">
        <f>IF($C192="875",$D192,)</f>
        <v>0</v>
      </c>
      <c r="W192" s="68">
        <f>IF($C192="872",$D192,)</f>
        <v>0</v>
      </c>
      <c r="X192" s="68">
        <f>IF($C192="909",$D192,)</f>
        <v>0</v>
      </c>
      <c r="Y192" s="68">
        <f t="shared" si="68"/>
        <v>0</v>
      </c>
      <c r="Z192" s="68"/>
      <c r="AA192" s="68">
        <f t="shared" si="42"/>
        <v>0</v>
      </c>
      <c r="AB192" s="68"/>
      <c r="AC192" s="68"/>
      <c r="AD192" s="4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row>
    <row r="193" spans="1:54">
      <c r="A193" s="77">
        <v>32</v>
      </c>
      <c r="B193" s="53" t="s">
        <v>375</v>
      </c>
      <c r="C193" s="66"/>
      <c r="D193" s="67"/>
      <c r="E193" s="47">
        <f t="shared" si="39"/>
        <v>0</v>
      </c>
      <c r="F193" s="68">
        <f t="shared" ref="F193" si="72">F194+F195+F196</f>
        <v>0</v>
      </c>
      <c r="G193" s="68">
        <f t="shared" si="63"/>
        <v>0</v>
      </c>
      <c r="H193" s="68">
        <f>H194+H195+H196</f>
        <v>0</v>
      </c>
      <c r="I193" s="68">
        <f t="shared" ref="I193:Q193" si="73">I194+I195+I196</f>
        <v>0</v>
      </c>
      <c r="J193" s="68">
        <f t="shared" si="73"/>
        <v>0</v>
      </c>
      <c r="K193" s="68">
        <f t="shared" si="73"/>
        <v>0</v>
      </c>
      <c r="L193" s="68">
        <f t="shared" si="73"/>
        <v>0</v>
      </c>
      <c r="M193" s="68">
        <f t="shared" si="73"/>
        <v>0</v>
      </c>
      <c r="N193" s="68">
        <f t="shared" si="73"/>
        <v>0</v>
      </c>
      <c r="O193" s="68">
        <f t="shared" si="73"/>
        <v>0</v>
      </c>
      <c r="P193" s="68">
        <f t="shared" si="73"/>
        <v>0</v>
      </c>
      <c r="Q193" s="68">
        <f t="shared" si="73"/>
        <v>0</v>
      </c>
      <c r="R193" s="68"/>
      <c r="S193" s="68"/>
      <c r="T193" s="68">
        <f t="shared" si="46"/>
        <v>0</v>
      </c>
      <c r="U193" s="68">
        <f>U194+U195+U196</f>
        <v>0</v>
      </c>
      <c r="V193" s="68">
        <f>V194+V195+V196</f>
        <v>0</v>
      </c>
      <c r="W193" s="68">
        <f>W194+W195+W196</f>
        <v>0</v>
      </c>
      <c r="X193" s="68">
        <f>X194+X195+X196</f>
        <v>0</v>
      </c>
      <c r="Y193" s="68">
        <f t="shared" si="68"/>
        <v>0</v>
      </c>
      <c r="Z193" s="68"/>
      <c r="AA193" s="68">
        <f t="shared" si="42"/>
        <v>0</v>
      </c>
      <c r="AB193" s="68"/>
      <c r="AC193" s="68"/>
      <c r="AD193" s="4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row>
    <row r="194" spans="1:54" ht="12.75" hidden="1" customHeight="1" outlineLevel="1">
      <c r="A194" s="77">
        <v>28</v>
      </c>
      <c r="B194" s="65" t="s">
        <v>371</v>
      </c>
      <c r="C194" s="66" t="s">
        <v>537</v>
      </c>
      <c r="D194" s="67"/>
      <c r="E194" s="47">
        <f t="shared" si="39"/>
        <v>0</v>
      </c>
      <c r="F194" s="68">
        <f>IF($C194="820",$D194,)</f>
        <v>0</v>
      </c>
      <c r="G194" s="68">
        <f t="shared" si="63"/>
        <v>0</v>
      </c>
      <c r="H194" s="68">
        <f>IF($C194="864",$D194,)</f>
        <v>0</v>
      </c>
      <c r="I194" s="68">
        <f>IF($C194="867",$D194,)</f>
        <v>0</v>
      </c>
      <c r="J194" s="68">
        <f>IF($C194="861",$D194,)</f>
        <v>0</v>
      </c>
      <c r="K194" s="68">
        <f>IF($C194="862",$D194,)</f>
        <v>0</v>
      </c>
      <c r="L194" s="68">
        <f>IF($C194="865",$D194,)</f>
        <v>0</v>
      </c>
      <c r="M194" s="68">
        <f>IF($C194="868",$D194,)</f>
        <v>0</v>
      </c>
      <c r="N194" s="68">
        <f>IF($C194="869",$D194,)</f>
        <v>0</v>
      </c>
      <c r="O194" s="68">
        <f>IF($C194="871",$D194,)</f>
        <v>0</v>
      </c>
      <c r="P194" s="68">
        <f>IF($C194="874",$D194,)</f>
        <v>0</v>
      </c>
      <c r="Q194" s="68">
        <f>IF($C194="873",$D194,)</f>
        <v>0</v>
      </c>
      <c r="R194" s="68"/>
      <c r="S194" s="68"/>
      <c r="T194" s="68">
        <f t="shared" si="46"/>
        <v>0</v>
      </c>
      <c r="U194" s="68">
        <f>IF($C194="877",$D194,)</f>
        <v>0</v>
      </c>
      <c r="V194" s="68">
        <f>IF($C194="875",$D194,)</f>
        <v>0</v>
      </c>
      <c r="W194" s="68">
        <f>IF($C194="872",$D194,)</f>
        <v>0</v>
      </c>
      <c r="X194" s="68">
        <f>IF($C194="909",$D194,)</f>
        <v>0</v>
      </c>
      <c r="Y194" s="68">
        <f t="shared" si="68"/>
        <v>0</v>
      </c>
      <c r="Z194" s="68"/>
      <c r="AA194" s="68">
        <f t="shared" si="42"/>
        <v>0</v>
      </c>
      <c r="AB194" s="68"/>
      <c r="AC194" s="68"/>
      <c r="AD194" s="4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row>
    <row r="195" spans="1:54" ht="12.75" hidden="1" customHeight="1" outlineLevel="1">
      <c r="A195" s="77">
        <v>28</v>
      </c>
      <c r="B195" s="78" t="s">
        <v>328</v>
      </c>
      <c r="C195" s="66" t="s">
        <v>540</v>
      </c>
      <c r="D195" s="67"/>
      <c r="E195" s="47">
        <f t="shared" si="39"/>
        <v>0</v>
      </c>
      <c r="F195" s="68">
        <f>IF($C195="820",$D195,)</f>
        <v>0</v>
      </c>
      <c r="G195" s="68">
        <f t="shared" si="63"/>
        <v>0</v>
      </c>
      <c r="H195" s="68">
        <f>IF($C195="864",$D195,)</f>
        <v>0</v>
      </c>
      <c r="I195" s="68">
        <f>IF($C195="867",$D195,)</f>
        <v>0</v>
      </c>
      <c r="J195" s="68">
        <f>IF($C195="861",$D195,)</f>
        <v>0</v>
      </c>
      <c r="K195" s="68">
        <f>IF($C195="862",$D195,)</f>
        <v>0</v>
      </c>
      <c r="L195" s="68">
        <f>IF($C195="865",$D195,)</f>
        <v>0</v>
      </c>
      <c r="M195" s="68">
        <f>IF($C195="868",$D195,)</f>
        <v>0</v>
      </c>
      <c r="N195" s="68">
        <f>IF($C195="869",$D195,)</f>
        <v>0</v>
      </c>
      <c r="O195" s="68">
        <f>IF($C195="871",$D195,)</f>
        <v>0</v>
      </c>
      <c r="P195" s="68">
        <f>IF($C195="874",$D195,)</f>
        <v>0</v>
      </c>
      <c r="Q195" s="68">
        <f>IF($C195="873",$D195,)</f>
        <v>0</v>
      </c>
      <c r="R195" s="68"/>
      <c r="S195" s="68"/>
      <c r="T195" s="68">
        <f t="shared" si="46"/>
        <v>0</v>
      </c>
      <c r="U195" s="68">
        <f>IF($C195="877",$D195,)</f>
        <v>0</v>
      </c>
      <c r="V195" s="68">
        <f>IF($C195="875",$D195,)</f>
        <v>0</v>
      </c>
      <c r="W195" s="68">
        <f>IF($C195="872",$D195,)</f>
        <v>0</v>
      </c>
      <c r="X195" s="68">
        <f>IF($C195="909",$D195,)</f>
        <v>0</v>
      </c>
      <c r="Y195" s="68">
        <f t="shared" si="68"/>
        <v>0</v>
      </c>
      <c r="Z195" s="68"/>
      <c r="AA195" s="68">
        <f t="shared" si="42"/>
        <v>0</v>
      </c>
      <c r="AB195" s="68"/>
      <c r="AC195" s="68"/>
      <c r="AD195" s="4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row>
    <row r="196" spans="1:54" ht="12.75" hidden="1" customHeight="1" outlineLevel="1">
      <c r="A196" s="77">
        <v>28</v>
      </c>
      <c r="B196" s="78" t="s">
        <v>324</v>
      </c>
      <c r="C196" s="66" t="s">
        <v>538</v>
      </c>
      <c r="D196" s="67"/>
      <c r="E196" s="47">
        <f t="shared" si="39"/>
        <v>0</v>
      </c>
      <c r="F196" s="68">
        <f>IF($C196="820",$D196,)</f>
        <v>0</v>
      </c>
      <c r="G196" s="68">
        <f t="shared" si="63"/>
        <v>0</v>
      </c>
      <c r="H196" s="68">
        <f>IF($C196="864",$D196,)</f>
        <v>0</v>
      </c>
      <c r="I196" s="68">
        <f>IF($C196="867",$D196,)</f>
        <v>0</v>
      </c>
      <c r="J196" s="68">
        <f>IF($C196="861",$D196,)</f>
        <v>0</v>
      </c>
      <c r="K196" s="68">
        <f>IF($C196="862",$D196,)</f>
        <v>0</v>
      </c>
      <c r="L196" s="68">
        <f>IF($C196="865",$D196,)</f>
        <v>0</v>
      </c>
      <c r="M196" s="68">
        <f>IF($C196="868",$D196,)</f>
        <v>0</v>
      </c>
      <c r="N196" s="68">
        <f>IF($C196="869",$D196,)</f>
        <v>0</v>
      </c>
      <c r="O196" s="68">
        <f>IF($C196="871",$D196,)</f>
        <v>0</v>
      </c>
      <c r="P196" s="68">
        <f>IF($C196="874",$D196,)</f>
        <v>0</v>
      </c>
      <c r="Q196" s="68">
        <f>IF($C196="873",$D196,)</f>
        <v>0</v>
      </c>
      <c r="R196" s="68"/>
      <c r="S196" s="68"/>
      <c r="T196" s="68">
        <f t="shared" si="46"/>
        <v>0</v>
      </c>
      <c r="U196" s="68">
        <f>IF($C196="877",$D196,)</f>
        <v>0</v>
      </c>
      <c r="V196" s="68">
        <f>IF($C196="875",$D196,)</f>
        <v>0</v>
      </c>
      <c r="W196" s="68">
        <f>IF($C196="872",$D196,)</f>
        <v>0</v>
      </c>
      <c r="X196" s="68">
        <f>IF($C196="909",$D196,)</f>
        <v>0</v>
      </c>
      <c r="Y196" s="68">
        <f t="shared" si="68"/>
        <v>0</v>
      </c>
      <c r="Z196" s="68"/>
      <c r="AA196" s="68">
        <f t="shared" si="42"/>
        <v>0</v>
      </c>
      <c r="AB196" s="68"/>
      <c r="AC196" s="68"/>
      <c r="AD196" s="4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row>
    <row r="197" spans="1:54" collapsed="1">
      <c r="A197" s="77">
        <v>33</v>
      </c>
      <c r="B197" s="53" t="s">
        <v>376</v>
      </c>
      <c r="C197" s="66" t="s">
        <v>537</v>
      </c>
      <c r="D197" s="67"/>
      <c r="E197" s="47">
        <f t="shared" si="39"/>
        <v>0</v>
      </c>
      <c r="F197" s="68">
        <f>IF($C197="820",$D197,)</f>
        <v>0</v>
      </c>
      <c r="G197" s="68">
        <f t="shared" si="63"/>
        <v>0</v>
      </c>
      <c r="H197" s="68">
        <f>IF($C197="864",$D197,)</f>
        <v>0</v>
      </c>
      <c r="I197" s="68">
        <f>IF($C197="867",$D197,)</f>
        <v>0</v>
      </c>
      <c r="J197" s="68">
        <f>IF($C197="861",$D197,)</f>
        <v>0</v>
      </c>
      <c r="K197" s="68">
        <f>IF($C197="862",$D197,)</f>
        <v>0</v>
      </c>
      <c r="L197" s="68">
        <f>IF($C197="865",$D197,)</f>
        <v>0</v>
      </c>
      <c r="M197" s="68">
        <f>IF($C197="868",$D197,)</f>
        <v>0</v>
      </c>
      <c r="N197" s="68">
        <f>IF($C197="869",$D197,)</f>
        <v>0</v>
      </c>
      <c r="O197" s="68">
        <f>IF($C197="871",$D197,)</f>
        <v>0</v>
      </c>
      <c r="P197" s="68">
        <f>IF($C197="874",$D197,)</f>
        <v>0</v>
      </c>
      <c r="Q197" s="68">
        <f>IF($C197="873",$D197,)</f>
        <v>0</v>
      </c>
      <c r="R197" s="68"/>
      <c r="S197" s="68"/>
      <c r="T197" s="68">
        <f t="shared" si="46"/>
        <v>0</v>
      </c>
      <c r="U197" s="68">
        <f>IF($C197="877",$D197,)</f>
        <v>0</v>
      </c>
      <c r="V197" s="68">
        <f>IF($C197="875",$D197,)</f>
        <v>0</v>
      </c>
      <c r="W197" s="68">
        <f>IF($C197="872",$D197,)</f>
        <v>0</v>
      </c>
      <c r="X197" s="68">
        <f>IF($C197="909",$D197,)</f>
        <v>0</v>
      </c>
      <c r="Y197" s="68">
        <f t="shared" si="68"/>
        <v>0</v>
      </c>
      <c r="Z197" s="68"/>
      <c r="AA197" s="68">
        <f t="shared" si="42"/>
        <v>0</v>
      </c>
      <c r="AB197" s="68"/>
      <c r="AC197" s="68"/>
      <c r="AD197" s="4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row>
    <row r="198" spans="1:54">
      <c r="A198" s="77">
        <v>34</v>
      </c>
      <c r="B198" s="53" t="s">
        <v>377</v>
      </c>
      <c r="C198" s="66"/>
      <c r="D198" s="67"/>
      <c r="E198" s="47">
        <f t="shared" si="39"/>
        <v>0</v>
      </c>
      <c r="F198" s="67">
        <f t="shared" ref="F198:Y198" si="74">F199+F200</f>
        <v>0</v>
      </c>
      <c r="G198" s="67">
        <f t="shared" si="74"/>
        <v>0</v>
      </c>
      <c r="H198" s="67">
        <f t="shared" si="74"/>
        <v>0</v>
      </c>
      <c r="I198" s="67">
        <f t="shared" si="74"/>
        <v>0</v>
      </c>
      <c r="J198" s="67">
        <f t="shared" si="74"/>
        <v>0</v>
      </c>
      <c r="K198" s="67">
        <f t="shared" si="74"/>
        <v>0</v>
      </c>
      <c r="L198" s="67">
        <f t="shared" si="74"/>
        <v>0</v>
      </c>
      <c r="M198" s="67">
        <f t="shared" si="74"/>
        <v>0</v>
      </c>
      <c r="N198" s="67">
        <f t="shared" si="74"/>
        <v>0</v>
      </c>
      <c r="O198" s="67">
        <f t="shared" si="74"/>
        <v>0</v>
      </c>
      <c r="P198" s="67">
        <f t="shared" si="74"/>
        <v>0</v>
      </c>
      <c r="Q198" s="67">
        <f t="shared" si="74"/>
        <v>0</v>
      </c>
      <c r="R198" s="67">
        <f t="shared" si="74"/>
        <v>0</v>
      </c>
      <c r="S198" s="67">
        <f t="shared" si="74"/>
        <v>0</v>
      </c>
      <c r="T198" s="67">
        <f t="shared" si="74"/>
        <v>0</v>
      </c>
      <c r="U198" s="67">
        <f t="shared" si="74"/>
        <v>0</v>
      </c>
      <c r="V198" s="67">
        <f t="shared" si="74"/>
        <v>0</v>
      </c>
      <c r="W198" s="67">
        <f t="shared" si="74"/>
        <v>0</v>
      </c>
      <c r="X198" s="67">
        <f t="shared" si="74"/>
        <v>0</v>
      </c>
      <c r="Y198" s="67">
        <f t="shared" si="74"/>
        <v>0</v>
      </c>
      <c r="Z198" s="68"/>
      <c r="AA198" s="68">
        <f t="shared" si="42"/>
        <v>0</v>
      </c>
      <c r="AB198" s="68"/>
      <c r="AC198" s="68"/>
      <c r="AD198" s="48"/>
      <c r="AE198" s="67"/>
      <c r="AF198" s="67"/>
      <c r="AG198" s="67"/>
      <c r="AH198" s="67"/>
      <c r="AI198" s="67"/>
      <c r="AJ198" s="67"/>
      <c r="AK198" s="67"/>
      <c r="AL198" s="67"/>
      <c r="AM198" s="67"/>
      <c r="AN198" s="67"/>
      <c r="AO198" s="67"/>
      <c r="AP198" s="67"/>
      <c r="AQ198" s="67"/>
      <c r="AR198" s="67"/>
      <c r="AS198" s="67"/>
      <c r="AT198" s="67"/>
      <c r="AU198" s="67"/>
      <c r="AV198" s="67"/>
      <c r="AW198" s="67"/>
      <c r="AX198" s="67"/>
      <c r="AY198" s="68"/>
      <c r="AZ198" s="68"/>
      <c r="BA198" s="68"/>
      <c r="BB198" s="68"/>
    </row>
    <row r="199" spans="1:54" hidden="1">
      <c r="A199" s="77">
        <v>28</v>
      </c>
      <c r="B199" s="65" t="s">
        <v>371</v>
      </c>
      <c r="C199" s="66" t="s">
        <v>537</v>
      </c>
      <c r="D199" s="67"/>
      <c r="E199" s="47">
        <f t="shared" si="39"/>
        <v>0</v>
      </c>
      <c r="F199" s="68">
        <f t="shared" ref="F199:F200" si="75">IF($C199="820",$D199,)</f>
        <v>0</v>
      </c>
      <c r="G199" s="68">
        <f t="shared" ref="G199:G200" si="76">H199+I199+J199+K199+L199+M199+N199+O199+P199+Q199+U199+V199+W199+X199</f>
        <v>0</v>
      </c>
      <c r="H199" s="68">
        <f t="shared" ref="H199:H200" si="77">IF($C199="864",$D199,)</f>
        <v>0</v>
      </c>
      <c r="I199" s="68">
        <f t="shared" ref="I199:I200" si="78">IF($C199="867",$D199,)</f>
        <v>0</v>
      </c>
      <c r="J199" s="68">
        <f t="shared" ref="J199:J200" si="79">IF($C199="861",$D199,)</f>
        <v>0</v>
      </c>
      <c r="K199" s="68">
        <f t="shared" ref="K199:K200" si="80">IF($C199="862",$D199,)</f>
        <v>0</v>
      </c>
      <c r="L199" s="68">
        <f t="shared" ref="L199:L200" si="81">IF($C199="865",$D199,)</f>
        <v>0</v>
      </c>
      <c r="M199" s="68">
        <f t="shared" ref="M199:M200" si="82">IF($C199="868",$D199,)</f>
        <v>0</v>
      </c>
      <c r="N199" s="68">
        <f t="shared" ref="N199:N200" si="83">IF($C199="869",$D199,)</f>
        <v>0</v>
      </c>
      <c r="O199" s="68">
        <f t="shared" ref="O199:O200" si="84">IF($C199="871",$D199,)</f>
        <v>0</v>
      </c>
      <c r="P199" s="68">
        <f t="shared" ref="P199:P200" si="85">IF($C199="874",$D199,)</f>
        <v>0</v>
      </c>
      <c r="Q199" s="68">
        <f t="shared" ref="Q199:Q200" si="86">IF($C199="873",$D199,)</f>
        <v>0</v>
      </c>
      <c r="R199" s="68"/>
      <c r="S199" s="68"/>
      <c r="T199" s="68">
        <f t="shared" ref="T199:T200" si="87">Q199-R199-S199</f>
        <v>0</v>
      </c>
      <c r="U199" s="68">
        <f t="shared" ref="U199:U200" si="88">IF($C199="877",$D199,)</f>
        <v>0</v>
      </c>
      <c r="V199" s="68">
        <f t="shared" ref="V199:V200" si="89">IF($C199="875",$D199,)</f>
        <v>0</v>
      </c>
      <c r="W199" s="68">
        <f t="shared" ref="W199:W200" si="90">IF($C199="872",$D199,)</f>
        <v>0</v>
      </c>
      <c r="X199" s="68">
        <f t="shared" ref="X199:X200" si="91">IF($C199="909",$D199,)</f>
        <v>0</v>
      </c>
      <c r="Y199" s="68">
        <f t="shared" si="68"/>
        <v>0</v>
      </c>
      <c r="Z199" s="68"/>
      <c r="AA199" s="68">
        <f t="shared" si="42"/>
        <v>0</v>
      </c>
      <c r="AB199" s="68"/>
      <c r="AC199" s="68"/>
      <c r="AD199" s="4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row>
    <row r="200" spans="1:54" hidden="1">
      <c r="A200" s="77">
        <v>28</v>
      </c>
      <c r="B200" s="78" t="s">
        <v>344</v>
      </c>
      <c r="C200" s="66" t="s">
        <v>542</v>
      </c>
      <c r="D200" s="67"/>
      <c r="E200" s="47">
        <f t="shared" si="39"/>
        <v>0</v>
      </c>
      <c r="F200" s="68">
        <f t="shared" si="75"/>
        <v>0</v>
      </c>
      <c r="G200" s="68">
        <f t="shared" si="76"/>
        <v>0</v>
      </c>
      <c r="H200" s="68">
        <f t="shared" si="77"/>
        <v>0</v>
      </c>
      <c r="I200" s="68">
        <f t="shared" si="78"/>
        <v>0</v>
      </c>
      <c r="J200" s="68">
        <f t="shared" si="79"/>
        <v>0</v>
      </c>
      <c r="K200" s="68">
        <f t="shared" si="80"/>
        <v>0</v>
      </c>
      <c r="L200" s="68">
        <f t="shared" si="81"/>
        <v>0</v>
      </c>
      <c r="M200" s="68">
        <f t="shared" si="82"/>
        <v>0</v>
      </c>
      <c r="N200" s="68">
        <f t="shared" si="83"/>
        <v>0</v>
      </c>
      <c r="O200" s="68">
        <f t="shared" si="84"/>
        <v>0</v>
      </c>
      <c r="P200" s="68">
        <f t="shared" si="85"/>
        <v>0</v>
      </c>
      <c r="Q200" s="68">
        <f t="shared" si="86"/>
        <v>0</v>
      </c>
      <c r="R200" s="68"/>
      <c r="S200" s="68"/>
      <c r="T200" s="68">
        <f t="shared" si="87"/>
        <v>0</v>
      </c>
      <c r="U200" s="68">
        <f t="shared" si="88"/>
        <v>0</v>
      </c>
      <c r="V200" s="68">
        <f t="shared" si="89"/>
        <v>0</v>
      </c>
      <c r="W200" s="68">
        <f t="shared" si="90"/>
        <v>0</v>
      </c>
      <c r="X200" s="68">
        <f t="shared" si="91"/>
        <v>0</v>
      </c>
      <c r="Y200" s="68">
        <f t="shared" si="68"/>
        <v>0</v>
      </c>
      <c r="Z200" s="68"/>
      <c r="AA200" s="68">
        <f t="shared" si="42"/>
        <v>0</v>
      </c>
      <c r="AB200" s="68"/>
      <c r="AC200" s="68"/>
      <c r="AD200" s="4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row>
    <row r="201" spans="1:54">
      <c r="A201" s="77">
        <v>35</v>
      </c>
      <c r="B201" s="53" t="s">
        <v>378</v>
      </c>
      <c r="C201" s="66"/>
      <c r="D201" s="67"/>
      <c r="E201" s="47">
        <f t="shared" si="39"/>
        <v>0</v>
      </c>
      <c r="F201" s="68">
        <f t="shared" ref="F201:Y201" si="92">F202</f>
        <v>0</v>
      </c>
      <c r="G201" s="68">
        <f t="shared" si="92"/>
        <v>0</v>
      </c>
      <c r="H201" s="68">
        <f t="shared" si="92"/>
        <v>0</v>
      </c>
      <c r="I201" s="68">
        <f t="shared" si="92"/>
        <v>0</v>
      </c>
      <c r="J201" s="68">
        <f t="shared" si="92"/>
        <v>0</v>
      </c>
      <c r="K201" s="68">
        <f t="shared" si="92"/>
        <v>0</v>
      </c>
      <c r="L201" s="68">
        <f t="shared" si="92"/>
        <v>0</v>
      </c>
      <c r="M201" s="68">
        <f t="shared" si="92"/>
        <v>0</v>
      </c>
      <c r="N201" s="68">
        <f t="shared" si="92"/>
        <v>0</v>
      </c>
      <c r="O201" s="68">
        <f t="shared" si="92"/>
        <v>0</v>
      </c>
      <c r="P201" s="68">
        <f t="shared" si="92"/>
        <v>0</v>
      </c>
      <c r="Q201" s="68">
        <f t="shared" si="92"/>
        <v>0</v>
      </c>
      <c r="R201" s="68">
        <f t="shared" si="92"/>
        <v>0</v>
      </c>
      <c r="S201" s="68">
        <f t="shared" si="92"/>
        <v>0</v>
      </c>
      <c r="T201" s="68">
        <f t="shared" si="92"/>
        <v>0</v>
      </c>
      <c r="U201" s="68">
        <f t="shared" si="92"/>
        <v>0</v>
      </c>
      <c r="V201" s="68">
        <f t="shared" si="92"/>
        <v>0</v>
      </c>
      <c r="W201" s="68">
        <f t="shared" si="92"/>
        <v>0</v>
      </c>
      <c r="X201" s="68">
        <f t="shared" si="92"/>
        <v>0</v>
      </c>
      <c r="Y201" s="68">
        <f t="shared" si="92"/>
        <v>0</v>
      </c>
      <c r="Z201" s="68"/>
      <c r="AA201" s="68">
        <f t="shared" si="42"/>
        <v>0</v>
      </c>
      <c r="AB201" s="68"/>
      <c r="AC201" s="68"/>
      <c r="AD201" s="4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row>
    <row r="202" spans="1:54" ht="12.75" hidden="1" customHeight="1" outlineLevel="1">
      <c r="A202" s="77" t="s">
        <v>30</v>
      </c>
      <c r="B202" s="71" t="s">
        <v>44</v>
      </c>
      <c r="C202" s="66" t="s">
        <v>547</v>
      </c>
      <c r="D202" s="67"/>
      <c r="E202" s="47">
        <f t="shared" si="39"/>
        <v>0</v>
      </c>
      <c r="F202" s="68">
        <f>IF($C202="820",$D202,)</f>
        <v>0</v>
      </c>
      <c r="G202" s="68">
        <f t="shared" si="63"/>
        <v>0</v>
      </c>
      <c r="H202" s="68">
        <f>IF($C202="864",$D202,)</f>
        <v>0</v>
      </c>
      <c r="I202" s="68">
        <f>IF($C202="867",$D202,)</f>
        <v>0</v>
      </c>
      <c r="J202" s="68">
        <f>IF($C202="861",$D202,)</f>
        <v>0</v>
      </c>
      <c r="K202" s="68">
        <f>IF($C202="862",$D202,)</f>
        <v>0</v>
      </c>
      <c r="L202" s="68">
        <f>IF($C202="865",$D202,)</f>
        <v>0</v>
      </c>
      <c r="M202" s="68">
        <f>IF($C202="868",$D202,)</f>
        <v>0</v>
      </c>
      <c r="N202" s="68">
        <f>IF($C202="869",$D202,)</f>
        <v>0</v>
      </c>
      <c r="O202" s="68">
        <f>IF($C202="871",$D202,)</f>
        <v>0</v>
      </c>
      <c r="P202" s="68">
        <f>IF($C202="874",$D202,)</f>
        <v>0</v>
      </c>
      <c r="Q202" s="68">
        <f>IF($C202="873",$D202,)</f>
        <v>0</v>
      </c>
      <c r="R202" s="68"/>
      <c r="S202" s="68"/>
      <c r="T202" s="68">
        <f t="shared" si="46"/>
        <v>0</v>
      </c>
      <c r="U202" s="68">
        <f>IF($C202="877",$D202,)</f>
        <v>0</v>
      </c>
      <c r="V202" s="68">
        <f>IF($C202="875",$D202,)</f>
        <v>0</v>
      </c>
      <c r="W202" s="68">
        <f>IF($C202="872",$D202,)</f>
        <v>0</v>
      </c>
      <c r="X202" s="68">
        <f>IF($C202="909",$D202,)</f>
        <v>0</v>
      </c>
      <c r="Y202" s="68">
        <f>IF(OR($C202="932",$C202="934",$C202="949"),$D202,)</f>
        <v>0</v>
      </c>
      <c r="Z202" s="68"/>
      <c r="AA202" s="68">
        <f t="shared" si="42"/>
        <v>0</v>
      </c>
      <c r="AB202" s="68"/>
      <c r="AC202" s="68"/>
      <c r="AD202" s="4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row>
    <row r="203" spans="1:54" collapsed="1">
      <c r="A203" s="77">
        <v>36</v>
      </c>
      <c r="B203" s="53" t="s">
        <v>379</v>
      </c>
      <c r="C203" s="66"/>
      <c r="D203" s="67"/>
      <c r="E203" s="47">
        <f t="shared" si="39"/>
        <v>0</v>
      </c>
      <c r="F203" s="68">
        <f t="shared" ref="F203:Y203" si="93">F204</f>
        <v>0</v>
      </c>
      <c r="G203" s="68">
        <f t="shared" si="93"/>
        <v>0</v>
      </c>
      <c r="H203" s="68">
        <f t="shared" si="93"/>
        <v>0</v>
      </c>
      <c r="I203" s="68">
        <f t="shared" si="93"/>
        <v>0</v>
      </c>
      <c r="J203" s="68">
        <f t="shared" si="93"/>
        <v>0</v>
      </c>
      <c r="K203" s="68">
        <f t="shared" si="93"/>
        <v>0</v>
      </c>
      <c r="L203" s="68">
        <f t="shared" si="93"/>
        <v>0</v>
      </c>
      <c r="M203" s="68">
        <f t="shared" si="93"/>
        <v>0</v>
      </c>
      <c r="N203" s="68">
        <f t="shared" si="93"/>
        <v>0</v>
      </c>
      <c r="O203" s="68">
        <f t="shared" si="93"/>
        <v>0</v>
      </c>
      <c r="P203" s="68">
        <f t="shared" si="93"/>
        <v>0</v>
      </c>
      <c r="Q203" s="68">
        <f t="shared" si="93"/>
        <v>0</v>
      </c>
      <c r="R203" s="68">
        <f t="shared" si="93"/>
        <v>0</v>
      </c>
      <c r="S203" s="68">
        <f t="shared" si="93"/>
        <v>0</v>
      </c>
      <c r="T203" s="68">
        <f t="shared" si="93"/>
        <v>0</v>
      </c>
      <c r="U203" s="68">
        <f t="shared" si="93"/>
        <v>0</v>
      </c>
      <c r="V203" s="68">
        <f t="shared" si="93"/>
        <v>0</v>
      </c>
      <c r="W203" s="68">
        <f t="shared" si="93"/>
        <v>0</v>
      </c>
      <c r="X203" s="68">
        <f t="shared" si="93"/>
        <v>0</v>
      </c>
      <c r="Y203" s="68">
        <f t="shared" si="93"/>
        <v>0</v>
      </c>
      <c r="Z203" s="68"/>
      <c r="AA203" s="68">
        <f t="shared" si="42"/>
        <v>0</v>
      </c>
      <c r="AB203" s="68"/>
      <c r="AC203" s="68"/>
      <c r="AD203" s="4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row>
    <row r="204" spans="1:54" ht="12.75" hidden="1" customHeight="1" outlineLevel="1">
      <c r="A204" s="77" t="s">
        <v>30</v>
      </c>
      <c r="B204" s="53" t="s">
        <v>44</v>
      </c>
      <c r="C204" s="66" t="s">
        <v>548</v>
      </c>
      <c r="D204" s="67"/>
      <c r="E204" s="47">
        <f t="shared" si="39"/>
        <v>0</v>
      </c>
      <c r="F204" s="68">
        <f>IF($C204="820",$D204,)</f>
        <v>0</v>
      </c>
      <c r="G204" s="68">
        <f t="shared" si="63"/>
        <v>0</v>
      </c>
      <c r="H204" s="68">
        <f>IF($C204="864",$D204,)</f>
        <v>0</v>
      </c>
      <c r="I204" s="68">
        <f>IF($C204="867",$D204,)</f>
        <v>0</v>
      </c>
      <c r="J204" s="68">
        <f>IF($C204="861",$D204,)</f>
        <v>0</v>
      </c>
      <c r="K204" s="68">
        <f>IF($C204="862",$D204,)</f>
        <v>0</v>
      </c>
      <c r="L204" s="68">
        <f>IF($C204="865",$D204,)</f>
        <v>0</v>
      </c>
      <c r="M204" s="68">
        <f>IF($C204="868",$D204,)</f>
        <v>0</v>
      </c>
      <c r="N204" s="68">
        <f>IF($C204="869",$D204,)</f>
        <v>0</v>
      </c>
      <c r="O204" s="68">
        <f>IF($C204="871",$D204,)</f>
        <v>0</v>
      </c>
      <c r="P204" s="68">
        <f>IF($C204="874",$D204,)</f>
        <v>0</v>
      </c>
      <c r="Q204" s="68">
        <f>IF($C204="873",$D204,)</f>
        <v>0</v>
      </c>
      <c r="R204" s="68"/>
      <c r="S204" s="68"/>
      <c r="T204" s="68">
        <f t="shared" si="46"/>
        <v>0</v>
      </c>
      <c r="U204" s="68">
        <f>IF($C204="877",$D204,)</f>
        <v>0</v>
      </c>
      <c r="V204" s="68">
        <f>IF($C204="875",$D204,)</f>
        <v>0</v>
      </c>
      <c r="W204" s="68">
        <f>IF($C204="872",$D204,)</f>
        <v>0</v>
      </c>
      <c r="X204" s="68">
        <f>IF($C204="909",$D204,)</f>
        <v>0</v>
      </c>
      <c r="Y204" s="68">
        <f>IF(OR($C204="932",$C204="934",$C204="949"),$D204,)</f>
        <v>0</v>
      </c>
      <c r="Z204" s="68"/>
      <c r="AA204" s="68">
        <f t="shared" si="42"/>
        <v>0</v>
      </c>
      <c r="AB204" s="68"/>
      <c r="AC204" s="68"/>
      <c r="AD204" s="4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row>
    <row r="205" spans="1:54" collapsed="1">
      <c r="A205" s="77">
        <v>37</v>
      </c>
      <c r="B205" s="53" t="s">
        <v>380</v>
      </c>
      <c r="C205" s="66"/>
      <c r="D205" s="67"/>
      <c r="E205" s="47">
        <f t="shared" si="39"/>
        <v>0</v>
      </c>
      <c r="F205" s="68">
        <f t="shared" ref="F205:Y205" si="94">F206</f>
        <v>0</v>
      </c>
      <c r="G205" s="68">
        <f t="shared" si="94"/>
        <v>0</v>
      </c>
      <c r="H205" s="68">
        <f t="shared" si="94"/>
        <v>0</v>
      </c>
      <c r="I205" s="68">
        <f t="shared" si="94"/>
        <v>0</v>
      </c>
      <c r="J205" s="68">
        <f t="shared" si="94"/>
        <v>0</v>
      </c>
      <c r="K205" s="68">
        <f t="shared" si="94"/>
        <v>0</v>
      </c>
      <c r="L205" s="68">
        <f t="shared" si="94"/>
        <v>0</v>
      </c>
      <c r="M205" s="68">
        <f t="shared" si="94"/>
        <v>0</v>
      </c>
      <c r="N205" s="68">
        <f t="shared" si="94"/>
        <v>0</v>
      </c>
      <c r="O205" s="68">
        <f t="shared" si="94"/>
        <v>0</v>
      </c>
      <c r="P205" s="68">
        <f t="shared" si="94"/>
        <v>0</v>
      </c>
      <c r="Q205" s="68">
        <f t="shared" si="94"/>
        <v>0</v>
      </c>
      <c r="R205" s="68">
        <f t="shared" si="94"/>
        <v>0</v>
      </c>
      <c r="S205" s="68">
        <f t="shared" si="94"/>
        <v>0</v>
      </c>
      <c r="T205" s="68">
        <f t="shared" si="94"/>
        <v>0</v>
      </c>
      <c r="U205" s="68">
        <f t="shared" si="94"/>
        <v>0</v>
      </c>
      <c r="V205" s="68">
        <f t="shared" si="94"/>
        <v>0</v>
      </c>
      <c r="W205" s="68">
        <f t="shared" si="94"/>
        <v>0</v>
      </c>
      <c r="X205" s="68">
        <f t="shared" si="94"/>
        <v>0</v>
      </c>
      <c r="Y205" s="68">
        <f t="shared" si="94"/>
        <v>0</v>
      </c>
      <c r="Z205" s="68"/>
      <c r="AA205" s="68">
        <f t="shared" si="42"/>
        <v>0</v>
      </c>
      <c r="AB205" s="68"/>
      <c r="AC205" s="68"/>
      <c r="AD205" s="4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row>
    <row r="206" spans="1:54" ht="12.75" hidden="1" customHeight="1" outlineLevel="1">
      <c r="A206" s="79" t="s">
        <v>30</v>
      </c>
      <c r="B206" s="71" t="s">
        <v>44</v>
      </c>
      <c r="C206" s="66" t="s">
        <v>548</v>
      </c>
      <c r="D206" s="67"/>
      <c r="E206" s="47">
        <f t="shared" ref="E206:E269" si="95">F206+G206+Y206+Z206+AA206</f>
        <v>0</v>
      </c>
      <c r="F206" s="68">
        <f t="shared" ref="F206:F212" si="96">IF($C206="820",$D206,)</f>
        <v>0</v>
      </c>
      <c r="G206" s="68">
        <f t="shared" si="63"/>
        <v>0</v>
      </c>
      <c r="H206" s="68">
        <f t="shared" ref="H206:H212" si="97">IF($C206="864",$D206,)</f>
        <v>0</v>
      </c>
      <c r="I206" s="68">
        <f t="shared" ref="I206:I212" si="98">IF($C206="867",$D206,)</f>
        <v>0</v>
      </c>
      <c r="J206" s="68">
        <f t="shared" ref="J206:J212" si="99">IF($C206="861",$D206,)</f>
        <v>0</v>
      </c>
      <c r="K206" s="68">
        <f t="shared" ref="K206:K212" si="100">IF($C206="862",$D206,)</f>
        <v>0</v>
      </c>
      <c r="L206" s="68">
        <f t="shared" ref="L206:L212" si="101">IF($C206="865",$D206,)</f>
        <v>0</v>
      </c>
      <c r="M206" s="68">
        <f t="shared" ref="M206:M212" si="102">IF($C206="868",$D206,)</f>
        <v>0</v>
      </c>
      <c r="N206" s="68">
        <f t="shared" ref="N206:N212" si="103">IF($C206="869",$D206,)</f>
        <v>0</v>
      </c>
      <c r="O206" s="68">
        <f t="shared" ref="O206:O212" si="104">IF($C206="871",$D206,)</f>
        <v>0</v>
      </c>
      <c r="P206" s="68">
        <f t="shared" ref="P206:P212" si="105">IF($C206="874",$D206,)</f>
        <v>0</v>
      </c>
      <c r="Q206" s="68">
        <f t="shared" ref="Q206:Q212" si="106">IF($C206="873",$D206,)</f>
        <v>0</v>
      </c>
      <c r="R206" s="68"/>
      <c r="S206" s="68"/>
      <c r="T206" s="68">
        <f t="shared" si="46"/>
        <v>0</v>
      </c>
      <c r="U206" s="68">
        <f t="shared" ref="U206:U212" si="107">IF($C206="877",$D206,)</f>
        <v>0</v>
      </c>
      <c r="V206" s="68">
        <f t="shared" ref="V206:V212" si="108">IF($C206="875",$D206,)</f>
        <v>0</v>
      </c>
      <c r="W206" s="68">
        <f t="shared" ref="W206:W212" si="109">IF($C206="872",$D206,)</f>
        <v>0</v>
      </c>
      <c r="X206" s="68">
        <f t="shared" ref="X206:X212" si="110">IF($C206="909",$D206,)</f>
        <v>0</v>
      </c>
      <c r="Y206" s="68">
        <f t="shared" ref="Y206:Y221" si="111">IF(OR($C206="932",$C206="934",$C206="949"),$D206,)</f>
        <v>0</v>
      </c>
      <c r="Z206" s="68"/>
      <c r="AA206" s="68">
        <f t="shared" si="42"/>
        <v>0</v>
      </c>
      <c r="AB206" s="68"/>
      <c r="AC206" s="68"/>
      <c r="AD206" s="4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row>
    <row r="207" spans="1:54" collapsed="1">
      <c r="A207" s="77">
        <v>38</v>
      </c>
      <c r="B207" s="53" t="s">
        <v>381</v>
      </c>
      <c r="C207" s="66" t="s">
        <v>537</v>
      </c>
      <c r="D207" s="67"/>
      <c r="E207" s="47">
        <f t="shared" si="95"/>
        <v>0</v>
      </c>
      <c r="F207" s="68">
        <f t="shared" si="96"/>
        <v>0</v>
      </c>
      <c r="G207" s="68">
        <f t="shared" si="63"/>
        <v>0</v>
      </c>
      <c r="H207" s="68">
        <f t="shared" si="97"/>
        <v>0</v>
      </c>
      <c r="I207" s="68">
        <f t="shared" si="98"/>
        <v>0</v>
      </c>
      <c r="J207" s="68">
        <f t="shared" si="99"/>
        <v>0</v>
      </c>
      <c r="K207" s="68">
        <f t="shared" si="100"/>
        <v>0</v>
      </c>
      <c r="L207" s="68">
        <f t="shared" si="101"/>
        <v>0</v>
      </c>
      <c r="M207" s="68">
        <f t="shared" si="102"/>
        <v>0</v>
      </c>
      <c r="N207" s="68">
        <f t="shared" si="103"/>
        <v>0</v>
      </c>
      <c r="O207" s="68">
        <f t="shared" si="104"/>
        <v>0</v>
      </c>
      <c r="P207" s="68">
        <f t="shared" si="105"/>
        <v>0</v>
      </c>
      <c r="Q207" s="68">
        <f t="shared" si="106"/>
        <v>0</v>
      </c>
      <c r="R207" s="68"/>
      <c r="S207" s="68"/>
      <c r="T207" s="68">
        <f t="shared" si="46"/>
        <v>0</v>
      </c>
      <c r="U207" s="68">
        <f t="shared" si="107"/>
        <v>0</v>
      </c>
      <c r="V207" s="68">
        <f t="shared" si="108"/>
        <v>0</v>
      </c>
      <c r="W207" s="68">
        <f t="shared" si="109"/>
        <v>0</v>
      </c>
      <c r="X207" s="68">
        <f t="shared" si="110"/>
        <v>0</v>
      </c>
      <c r="Y207" s="68">
        <f t="shared" si="111"/>
        <v>0</v>
      </c>
      <c r="Z207" s="68"/>
      <c r="AA207" s="68">
        <f t="shared" si="42"/>
        <v>0</v>
      </c>
      <c r="AB207" s="68"/>
      <c r="AC207" s="68"/>
      <c r="AD207" s="4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row>
    <row r="208" spans="1:54" ht="25.5">
      <c r="A208" s="77">
        <v>39</v>
      </c>
      <c r="B208" s="53" t="s">
        <v>382</v>
      </c>
      <c r="C208" s="66" t="s">
        <v>537</v>
      </c>
      <c r="D208" s="67"/>
      <c r="E208" s="47">
        <f t="shared" si="95"/>
        <v>0</v>
      </c>
      <c r="F208" s="68">
        <f t="shared" si="96"/>
        <v>0</v>
      </c>
      <c r="G208" s="68">
        <f t="shared" si="63"/>
        <v>0</v>
      </c>
      <c r="H208" s="68">
        <f t="shared" si="97"/>
        <v>0</v>
      </c>
      <c r="I208" s="68">
        <f t="shared" si="98"/>
        <v>0</v>
      </c>
      <c r="J208" s="68">
        <f t="shared" si="99"/>
        <v>0</v>
      </c>
      <c r="K208" s="68">
        <f t="shared" si="100"/>
        <v>0</v>
      </c>
      <c r="L208" s="68">
        <f t="shared" si="101"/>
        <v>0</v>
      </c>
      <c r="M208" s="68">
        <f t="shared" si="102"/>
        <v>0</v>
      </c>
      <c r="N208" s="68">
        <f t="shared" si="103"/>
        <v>0</v>
      </c>
      <c r="O208" s="68">
        <f t="shared" si="104"/>
        <v>0</v>
      </c>
      <c r="P208" s="68">
        <f t="shared" si="105"/>
        <v>0</v>
      </c>
      <c r="Q208" s="68">
        <f t="shared" si="106"/>
        <v>0</v>
      </c>
      <c r="R208" s="68"/>
      <c r="S208" s="68"/>
      <c r="T208" s="68">
        <f t="shared" si="46"/>
        <v>0</v>
      </c>
      <c r="U208" s="68">
        <f t="shared" si="107"/>
        <v>0</v>
      </c>
      <c r="V208" s="68">
        <f t="shared" si="108"/>
        <v>0</v>
      </c>
      <c r="W208" s="68">
        <f t="shared" si="109"/>
        <v>0</v>
      </c>
      <c r="X208" s="68">
        <f t="shared" si="110"/>
        <v>0</v>
      </c>
      <c r="Y208" s="68">
        <f t="shared" si="111"/>
        <v>0</v>
      </c>
      <c r="Z208" s="68"/>
      <c r="AA208" s="68">
        <f t="shared" si="42"/>
        <v>0</v>
      </c>
      <c r="AB208" s="68"/>
      <c r="AC208" s="68"/>
      <c r="AD208" s="4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row>
    <row r="209" spans="1:54">
      <c r="A209" s="77">
        <v>40</v>
      </c>
      <c r="B209" s="53" t="s">
        <v>383</v>
      </c>
      <c r="C209" s="66" t="s">
        <v>537</v>
      </c>
      <c r="D209" s="67"/>
      <c r="E209" s="47">
        <f t="shared" si="95"/>
        <v>0</v>
      </c>
      <c r="F209" s="68">
        <f t="shared" si="96"/>
        <v>0</v>
      </c>
      <c r="G209" s="68">
        <f t="shared" si="63"/>
        <v>0</v>
      </c>
      <c r="H209" s="68">
        <f t="shared" si="97"/>
        <v>0</v>
      </c>
      <c r="I209" s="68">
        <f t="shared" si="98"/>
        <v>0</v>
      </c>
      <c r="J209" s="68">
        <f t="shared" si="99"/>
        <v>0</v>
      </c>
      <c r="K209" s="68">
        <f t="shared" si="100"/>
        <v>0</v>
      </c>
      <c r="L209" s="68">
        <f t="shared" si="101"/>
        <v>0</v>
      </c>
      <c r="M209" s="68">
        <f t="shared" si="102"/>
        <v>0</v>
      </c>
      <c r="N209" s="68">
        <f t="shared" si="103"/>
        <v>0</v>
      </c>
      <c r="O209" s="68">
        <f t="shared" si="104"/>
        <v>0</v>
      </c>
      <c r="P209" s="68">
        <f t="shared" si="105"/>
        <v>0</v>
      </c>
      <c r="Q209" s="68">
        <f t="shared" si="106"/>
        <v>0</v>
      </c>
      <c r="R209" s="68"/>
      <c r="S209" s="68"/>
      <c r="T209" s="68">
        <f t="shared" si="46"/>
        <v>0</v>
      </c>
      <c r="U209" s="68">
        <f t="shared" si="107"/>
        <v>0</v>
      </c>
      <c r="V209" s="68">
        <f t="shared" si="108"/>
        <v>0</v>
      </c>
      <c r="W209" s="68">
        <f t="shared" si="109"/>
        <v>0</v>
      </c>
      <c r="X209" s="68">
        <f t="shared" si="110"/>
        <v>0</v>
      </c>
      <c r="Y209" s="68">
        <f t="shared" si="111"/>
        <v>0</v>
      </c>
      <c r="Z209" s="68"/>
      <c r="AA209" s="68">
        <f t="shared" si="42"/>
        <v>0</v>
      </c>
      <c r="AB209" s="68"/>
      <c r="AC209" s="68"/>
      <c r="AD209" s="4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row>
    <row r="210" spans="1:54">
      <c r="A210" s="77">
        <v>41</v>
      </c>
      <c r="B210" s="53" t="s">
        <v>384</v>
      </c>
      <c r="C210" s="66" t="s">
        <v>537</v>
      </c>
      <c r="D210" s="67"/>
      <c r="E210" s="47">
        <f t="shared" si="95"/>
        <v>0</v>
      </c>
      <c r="F210" s="68">
        <f t="shared" si="96"/>
        <v>0</v>
      </c>
      <c r="G210" s="68">
        <f t="shared" si="63"/>
        <v>0</v>
      </c>
      <c r="H210" s="68">
        <f t="shared" si="97"/>
        <v>0</v>
      </c>
      <c r="I210" s="68">
        <f t="shared" si="98"/>
        <v>0</v>
      </c>
      <c r="J210" s="68">
        <f t="shared" si="99"/>
        <v>0</v>
      </c>
      <c r="K210" s="68">
        <f t="shared" si="100"/>
        <v>0</v>
      </c>
      <c r="L210" s="68">
        <f t="shared" si="101"/>
        <v>0</v>
      </c>
      <c r="M210" s="68">
        <f t="shared" si="102"/>
        <v>0</v>
      </c>
      <c r="N210" s="68">
        <f t="shared" si="103"/>
        <v>0</v>
      </c>
      <c r="O210" s="68">
        <f t="shared" si="104"/>
        <v>0</v>
      </c>
      <c r="P210" s="68">
        <f t="shared" si="105"/>
        <v>0</v>
      </c>
      <c r="Q210" s="68">
        <f t="shared" si="106"/>
        <v>0</v>
      </c>
      <c r="R210" s="68"/>
      <c r="S210" s="68"/>
      <c r="T210" s="68">
        <f t="shared" si="46"/>
        <v>0</v>
      </c>
      <c r="U210" s="68">
        <f t="shared" si="107"/>
        <v>0</v>
      </c>
      <c r="V210" s="68">
        <f t="shared" si="108"/>
        <v>0</v>
      </c>
      <c r="W210" s="68">
        <f t="shared" si="109"/>
        <v>0</v>
      </c>
      <c r="X210" s="68">
        <f t="shared" si="110"/>
        <v>0</v>
      </c>
      <c r="Y210" s="68">
        <f t="shared" si="111"/>
        <v>0</v>
      </c>
      <c r="Z210" s="68"/>
      <c r="AA210" s="68">
        <f t="shared" ref="AA210:AA291" si="112">AB210+AC210</f>
        <v>0</v>
      </c>
      <c r="AB210" s="68"/>
      <c r="AC210" s="68"/>
      <c r="AD210" s="4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row>
    <row r="211" spans="1:54">
      <c r="A211" s="77">
        <v>42</v>
      </c>
      <c r="B211" s="53" t="s">
        <v>385</v>
      </c>
      <c r="C211" s="66" t="s">
        <v>537</v>
      </c>
      <c r="D211" s="67"/>
      <c r="E211" s="47">
        <f t="shared" si="95"/>
        <v>0</v>
      </c>
      <c r="F211" s="68">
        <f t="shared" si="96"/>
        <v>0</v>
      </c>
      <c r="G211" s="68">
        <f t="shared" si="63"/>
        <v>0</v>
      </c>
      <c r="H211" s="68">
        <f t="shared" si="97"/>
        <v>0</v>
      </c>
      <c r="I211" s="68">
        <f t="shared" si="98"/>
        <v>0</v>
      </c>
      <c r="J211" s="68">
        <f t="shared" si="99"/>
        <v>0</v>
      </c>
      <c r="K211" s="68">
        <f t="shared" si="100"/>
        <v>0</v>
      </c>
      <c r="L211" s="68">
        <f t="shared" si="101"/>
        <v>0</v>
      </c>
      <c r="M211" s="68">
        <f t="shared" si="102"/>
        <v>0</v>
      </c>
      <c r="N211" s="68">
        <f t="shared" si="103"/>
        <v>0</v>
      </c>
      <c r="O211" s="68">
        <f t="shared" si="104"/>
        <v>0</v>
      </c>
      <c r="P211" s="68">
        <f t="shared" si="105"/>
        <v>0</v>
      </c>
      <c r="Q211" s="68">
        <f t="shared" si="106"/>
        <v>0</v>
      </c>
      <c r="R211" s="68"/>
      <c r="S211" s="68"/>
      <c r="T211" s="68">
        <f t="shared" si="46"/>
        <v>0</v>
      </c>
      <c r="U211" s="68">
        <f t="shared" si="107"/>
        <v>0</v>
      </c>
      <c r="V211" s="68">
        <f t="shared" si="108"/>
        <v>0</v>
      </c>
      <c r="W211" s="68">
        <f t="shared" si="109"/>
        <v>0</v>
      </c>
      <c r="X211" s="68">
        <f t="shared" si="110"/>
        <v>0</v>
      </c>
      <c r="Y211" s="68">
        <f t="shared" si="111"/>
        <v>0</v>
      </c>
      <c r="Z211" s="68"/>
      <c r="AA211" s="68">
        <f t="shared" si="112"/>
        <v>0</v>
      </c>
      <c r="AB211" s="68"/>
      <c r="AC211" s="68"/>
      <c r="AD211" s="4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row>
    <row r="212" spans="1:54">
      <c r="A212" s="77">
        <v>43</v>
      </c>
      <c r="B212" s="53" t="s">
        <v>386</v>
      </c>
      <c r="C212" s="66" t="s">
        <v>537</v>
      </c>
      <c r="D212" s="67"/>
      <c r="E212" s="47">
        <f t="shared" si="95"/>
        <v>0</v>
      </c>
      <c r="F212" s="68">
        <f t="shared" si="96"/>
        <v>0</v>
      </c>
      <c r="G212" s="68">
        <f t="shared" si="63"/>
        <v>0</v>
      </c>
      <c r="H212" s="68">
        <f t="shared" si="97"/>
        <v>0</v>
      </c>
      <c r="I212" s="68">
        <f t="shared" si="98"/>
        <v>0</v>
      </c>
      <c r="J212" s="68">
        <f t="shared" si="99"/>
        <v>0</v>
      </c>
      <c r="K212" s="68">
        <f t="shared" si="100"/>
        <v>0</v>
      </c>
      <c r="L212" s="68">
        <f t="shared" si="101"/>
        <v>0</v>
      </c>
      <c r="M212" s="68">
        <f t="shared" si="102"/>
        <v>0</v>
      </c>
      <c r="N212" s="68">
        <f t="shared" si="103"/>
        <v>0</v>
      </c>
      <c r="O212" s="68">
        <f t="shared" si="104"/>
        <v>0</v>
      </c>
      <c r="P212" s="68">
        <f t="shared" si="105"/>
        <v>0</v>
      </c>
      <c r="Q212" s="68">
        <f t="shared" si="106"/>
        <v>0</v>
      </c>
      <c r="R212" s="68"/>
      <c r="S212" s="68"/>
      <c r="T212" s="68">
        <f t="shared" si="46"/>
        <v>0</v>
      </c>
      <c r="U212" s="68">
        <f t="shared" si="107"/>
        <v>0</v>
      </c>
      <c r="V212" s="68">
        <f t="shared" si="108"/>
        <v>0</v>
      </c>
      <c r="W212" s="68">
        <f t="shared" si="109"/>
        <v>0</v>
      </c>
      <c r="X212" s="68">
        <f t="shared" si="110"/>
        <v>0</v>
      </c>
      <c r="Y212" s="68">
        <f t="shared" si="111"/>
        <v>0</v>
      </c>
      <c r="Z212" s="68"/>
      <c r="AA212" s="68">
        <f t="shared" si="112"/>
        <v>0</v>
      </c>
      <c r="AB212" s="68"/>
      <c r="AC212" s="68"/>
      <c r="AD212" s="4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row>
    <row r="213" spans="1:54" ht="25.5">
      <c r="A213" s="77">
        <v>44</v>
      </c>
      <c r="B213" s="53" t="s">
        <v>387</v>
      </c>
      <c r="C213" s="66"/>
      <c r="D213" s="67"/>
      <c r="E213" s="47">
        <f t="shared" si="95"/>
        <v>0</v>
      </c>
      <c r="F213" s="68">
        <f>F214+F215</f>
        <v>0</v>
      </c>
      <c r="G213" s="68">
        <f t="shared" si="63"/>
        <v>0</v>
      </c>
      <c r="H213" s="68">
        <f>H214+H215</f>
        <v>0</v>
      </c>
      <c r="I213" s="68">
        <f t="shared" ref="I213:Q213" si="113">I214+I215</f>
        <v>0</v>
      </c>
      <c r="J213" s="68">
        <f t="shared" si="113"/>
        <v>0</v>
      </c>
      <c r="K213" s="68">
        <f t="shared" si="113"/>
        <v>0</v>
      </c>
      <c r="L213" s="68">
        <f t="shared" si="113"/>
        <v>0</v>
      </c>
      <c r="M213" s="68">
        <f t="shared" si="113"/>
        <v>0</v>
      </c>
      <c r="N213" s="68">
        <f t="shared" si="113"/>
        <v>0</v>
      </c>
      <c r="O213" s="68">
        <f t="shared" si="113"/>
        <v>0</v>
      </c>
      <c r="P213" s="68">
        <f t="shared" si="113"/>
        <v>0</v>
      </c>
      <c r="Q213" s="68">
        <f t="shared" si="113"/>
        <v>0</v>
      </c>
      <c r="R213" s="68"/>
      <c r="S213" s="68"/>
      <c r="T213" s="68">
        <f t="shared" si="46"/>
        <v>0</v>
      </c>
      <c r="U213" s="68">
        <f>U214+U215</f>
        <v>0</v>
      </c>
      <c r="V213" s="68">
        <f>V214+V215</f>
        <v>0</v>
      </c>
      <c r="W213" s="68">
        <f>W214+W215</f>
        <v>0</v>
      </c>
      <c r="X213" s="68">
        <f>X214+X215</f>
        <v>0</v>
      </c>
      <c r="Y213" s="68">
        <f t="shared" si="111"/>
        <v>0</v>
      </c>
      <c r="Z213" s="68"/>
      <c r="AA213" s="68">
        <f t="shared" si="112"/>
        <v>0</v>
      </c>
      <c r="AB213" s="68"/>
      <c r="AC213" s="68"/>
      <c r="AD213" s="4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row>
    <row r="214" spans="1:54" ht="12.75" hidden="1" customHeight="1" outlineLevel="1">
      <c r="A214" s="70" t="s">
        <v>30</v>
      </c>
      <c r="B214" s="53" t="s">
        <v>388</v>
      </c>
      <c r="C214" s="66" t="s">
        <v>537</v>
      </c>
      <c r="D214" s="67"/>
      <c r="E214" s="47">
        <f t="shared" si="95"/>
        <v>0</v>
      </c>
      <c r="F214" s="68">
        <f t="shared" ref="F214:F221" si="114">IF($C214="820",$D214,)</f>
        <v>0</v>
      </c>
      <c r="G214" s="68">
        <f t="shared" si="63"/>
        <v>0</v>
      </c>
      <c r="H214" s="68">
        <f t="shared" ref="H214:H221" si="115">IF($C214="864",$D214,)</f>
        <v>0</v>
      </c>
      <c r="I214" s="68">
        <f t="shared" ref="I214:I221" si="116">IF($C214="867",$D214,)</f>
        <v>0</v>
      </c>
      <c r="J214" s="68">
        <f t="shared" ref="J214:J221" si="117">IF($C214="861",$D214,)</f>
        <v>0</v>
      </c>
      <c r="K214" s="68">
        <f t="shared" ref="K214:K221" si="118">IF($C214="862",$D214,)</f>
        <v>0</v>
      </c>
      <c r="L214" s="68">
        <f t="shared" ref="L214:L221" si="119">IF($C214="865",$D214,)</f>
        <v>0</v>
      </c>
      <c r="M214" s="68">
        <f t="shared" ref="M214:M221" si="120">IF($C214="868",$D214,)</f>
        <v>0</v>
      </c>
      <c r="N214" s="68">
        <f t="shared" ref="N214:N221" si="121">IF($C214="869",$D214,)</f>
        <v>0</v>
      </c>
      <c r="O214" s="68">
        <f t="shared" ref="O214:O221" si="122">IF($C214="871",$D214,)</f>
        <v>0</v>
      </c>
      <c r="P214" s="68">
        <f t="shared" ref="P214:P221" si="123">IF($C214="874",$D214,)</f>
        <v>0</v>
      </c>
      <c r="Q214" s="68">
        <f t="shared" ref="Q214:Q221" si="124">IF($C214="873",$D214,)</f>
        <v>0</v>
      </c>
      <c r="R214" s="68"/>
      <c r="S214" s="68"/>
      <c r="T214" s="68">
        <f t="shared" si="46"/>
        <v>0</v>
      </c>
      <c r="U214" s="68">
        <f t="shared" ref="U214:U221" si="125">IF($C214="877",$D214,)</f>
        <v>0</v>
      </c>
      <c r="V214" s="68">
        <f t="shared" ref="V214:V221" si="126">IF($C214="875",$D214,)</f>
        <v>0</v>
      </c>
      <c r="W214" s="68">
        <f t="shared" ref="W214:W221" si="127">IF($C214="872",$D214,)</f>
        <v>0</v>
      </c>
      <c r="X214" s="68">
        <f t="shared" ref="X214:X221" si="128">IF($C214="909",$D214,)</f>
        <v>0</v>
      </c>
      <c r="Y214" s="68">
        <f t="shared" si="111"/>
        <v>0</v>
      </c>
      <c r="Z214" s="68"/>
      <c r="AA214" s="68">
        <f t="shared" si="112"/>
        <v>0</v>
      </c>
      <c r="AB214" s="68"/>
      <c r="AC214" s="68"/>
      <c r="AD214" s="4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row>
    <row r="215" spans="1:54" ht="12.75" hidden="1" customHeight="1" outlineLevel="1">
      <c r="A215" s="70" t="s">
        <v>30</v>
      </c>
      <c r="B215" s="53" t="s">
        <v>389</v>
      </c>
      <c r="C215" s="66" t="s">
        <v>545</v>
      </c>
      <c r="D215" s="67"/>
      <c r="E215" s="47">
        <f t="shared" si="95"/>
        <v>0</v>
      </c>
      <c r="F215" s="68">
        <f t="shared" si="114"/>
        <v>0</v>
      </c>
      <c r="G215" s="68">
        <f t="shared" si="63"/>
        <v>0</v>
      </c>
      <c r="H215" s="68">
        <f t="shared" si="115"/>
        <v>0</v>
      </c>
      <c r="I215" s="68">
        <f t="shared" si="116"/>
        <v>0</v>
      </c>
      <c r="J215" s="68">
        <f t="shared" si="117"/>
        <v>0</v>
      </c>
      <c r="K215" s="68">
        <f t="shared" si="118"/>
        <v>0</v>
      </c>
      <c r="L215" s="68">
        <f t="shared" si="119"/>
        <v>0</v>
      </c>
      <c r="M215" s="68">
        <f t="shared" si="120"/>
        <v>0</v>
      </c>
      <c r="N215" s="68">
        <f t="shared" si="121"/>
        <v>0</v>
      </c>
      <c r="O215" s="68">
        <f t="shared" si="122"/>
        <v>0</v>
      </c>
      <c r="P215" s="68">
        <f t="shared" si="123"/>
        <v>0</v>
      </c>
      <c r="Q215" s="68">
        <f t="shared" si="124"/>
        <v>0</v>
      </c>
      <c r="R215" s="68"/>
      <c r="S215" s="68"/>
      <c r="T215" s="68">
        <f t="shared" si="46"/>
        <v>0</v>
      </c>
      <c r="U215" s="68">
        <f t="shared" si="125"/>
        <v>0</v>
      </c>
      <c r="V215" s="68">
        <f t="shared" si="126"/>
        <v>0</v>
      </c>
      <c r="W215" s="68">
        <f t="shared" si="127"/>
        <v>0</v>
      </c>
      <c r="X215" s="68">
        <f t="shared" si="128"/>
        <v>0</v>
      </c>
      <c r="Y215" s="68">
        <f t="shared" si="111"/>
        <v>0</v>
      </c>
      <c r="Z215" s="68"/>
      <c r="AA215" s="68">
        <f t="shared" si="112"/>
        <v>0</v>
      </c>
      <c r="AB215" s="68"/>
      <c r="AC215" s="68"/>
      <c r="AD215" s="4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row>
    <row r="216" spans="1:54" collapsed="1">
      <c r="A216" s="77">
        <v>45</v>
      </c>
      <c r="B216" s="53" t="s">
        <v>390</v>
      </c>
      <c r="C216" s="66" t="s">
        <v>537</v>
      </c>
      <c r="D216" s="67"/>
      <c r="E216" s="47">
        <f t="shared" si="95"/>
        <v>0</v>
      </c>
      <c r="F216" s="68">
        <f t="shared" si="114"/>
        <v>0</v>
      </c>
      <c r="G216" s="68">
        <f t="shared" si="63"/>
        <v>0</v>
      </c>
      <c r="H216" s="68">
        <f t="shared" si="115"/>
        <v>0</v>
      </c>
      <c r="I216" s="68">
        <f t="shared" si="116"/>
        <v>0</v>
      </c>
      <c r="J216" s="68">
        <f t="shared" si="117"/>
        <v>0</v>
      </c>
      <c r="K216" s="68">
        <f t="shared" si="118"/>
        <v>0</v>
      </c>
      <c r="L216" s="68">
        <f t="shared" si="119"/>
        <v>0</v>
      </c>
      <c r="M216" s="68">
        <f t="shared" si="120"/>
        <v>0</v>
      </c>
      <c r="N216" s="68">
        <f t="shared" si="121"/>
        <v>0</v>
      </c>
      <c r="O216" s="68">
        <f t="shared" si="122"/>
        <v>0</v>
      </c>
      <c r="P216" s="68">
        <f t="shared" si="123"/>
        <v>0</v>
      </c>
      <c r="Q216" s="68">
        <f t="shared" si="124"/>
        <v>0</v>
      </c>
      <c r="R216" s="68"/>
      <c r="S216" s="68"/>
      <c r="T216" s="68">
        <f t="shared" si="46"/>
        <v>0</v>
      </c>
      <c r="U216" s="68">
        <f t="shared" si="125"/>
        <v>0</v>
      </c>
      <c r="V216" s="68">
        <f t="shared" si="126"/>
        <v>0</v>
      </c>
      <c r="W216" s="68">
        <f t="shared" si="127"/>
        <v>0</v>
      </c>
      <c r="X216" s="68">
        <f t="shared" si="128"/>
        <v>0</v>
      </c>
      <c r="Y216" s="68">
        <f t="shared" si="111"/>
        <v>0</v>
      </c>
      <c r="Z216" s="68"/>
      <c r="AA216" s="68">
        <f t="shared" si="112"/>
        <v>0</v>
      </c>
      <c r="AB216" s="68"/>
      <c r="AC216" s="68"/>
      <c r="AD216" s="4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row>
    <row r="217" spans="1:54">
      <c r="A217" s="77">
        <v>46</v>
      </c>
      <c r="B217" s="53" t="s">
        <v>391</v>
      </c>
      <c r="C217" s="66" t="s">
        <v>537</v>
      </c>
      <c r="D217" s="67"/>
      <c r="E217" s="47">
        <f t="shared" si="95"/>
        <v>0</v>
      </c>
      <c r="F217" s="68">
        <f t="shared" si="114"/>
        <v>0</v>
      </c>
      <c r="G217" s="68">
        <f t="shared" si="63"/>
        <v>0</v>
      </c>
      <c r="H217" s="68">
        <f t="shared" si="115"/>
        <v>0</v>
      </c>
      <c r="I217" s="68">
        <f t="shared" si="116"/>
        <v>0</v>
      </c>
      <c r="J217" s="68">
        <f t="shared" si="117"/>
        <v>0</v>
      </c>
      <c r="K217" s="68">
        <f t="shared" si="118"/>
        <v>0</v>
      </c>
      <c r="L217" s="68">
        <f t="shared" si="119"/>
        <v>0</v>
      </c>
      <c r="M217" s="68">
        <f t="shared" si="120"/>
        <v>0</v>
      </c>
      <c r="N217" s="68">
        <f t="shared" si="121"/>
        <v>0</v>
      </c>
      <c r="O217" s="68">
        <f t="shared" si="122"/>
        <v>0</v>
      </c>
      <c r="P217" s="68">
        <f t="shared" si="123"/>
        <v>0</v>
      </c>
      <c r="Q217" s="68">
        <f t="shared" si="124"/>
        <v>0</v>
      </c>
      <c r="R217" s="68"/>
      <c r="S217" s="68"/>
      <c r="T217" s="68">
        <f t="shared" si="46"/>
        <v>0</v>
      </c>
      <c r="U217" s="68">
        <f t="shared" si="125"/>
        <v>0</v>
      </c>
      <c r="V217" s="68">
        <f t="shared" si="126"/>
        <v>0</v>
      </c>
      <c r="W217" s="68">
        <f t="shared" si="127"/>
        <v>0</v>
      </c>
      <c r="X217" s="68">
        <f t="shared" si="128"/>
        <v>0</v>
      </c>
      <c r="Y217" s="68">
        <f t="shared" si="111"/>
        <v>0</v>
      </c>
      <c r="Z217" s="68"/>
      <c r="AA217" s="68">
        <f t="shared" si="112"/>
        <v>0</v>
      </c>
      <c r="AB217" s="68"/>
      <c r="AC217" s="68"/>
      <c r="AD217" s="4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row>
    <row r="218" spans="1:54" ht="25.5">
      <c r="A218" s="77">
        <v>47</v>
      </c>
      <c r="B218" s="53" t="s">
        <v>392</v>
      </c>
      <c r="C218" s="66" t="s">
        <v>537</v>
      </c>
      <c r="D218" s="67"/>
      <c r="E218" s="47">
        <f t="shared" si="95"/>
        <v>0</v>
      </c>
      <c r="F218" s="68">
        <f t="shared" si="114"/>
        <v>0</v>
      </c>
      <c r="G218" s="68">
        <f t="shared" si="63"/>
        <v>0</v>
      </c>
      <c r="H218" s="68">
        <f t="shared" si="115"/>
        <v>0</v>
      </c>
      <c r="I218" s="68">
        <f t="shared" si="116"/>
        <v>0</v>
      </c>
      <c r="J218" s="68">
        <f t="shared" si="117"/>
        <v>0</v>
      </c>
      <c r="K218" s="68">
        <f t="shared" si="118"/>
        <v>0</v>
      </c>
      <c r="L218" s="68">
        <f t="shared" si="119"/>
        <v>0</v>
      </c>
      <c r="M218" s="68">
        <f t="shared" si="120"/>
        <v>0</v>
      </c>
      <c r="N218" s="68">
        <f t="shared" si="121"/>
        <v>0</v>
      </c>
      <c r="O218" s="68">
        <f t="shared" si="122"/>
        <v>0</v>
      </c>
      <c r="P218" s="68">
        <f t="shared" si="123"/>
        <v>0</v>
      </c>
      <c r="Q218" s="68">
        <f t="shared" si="124"/>
        <v>0</v>
      </c>
      <c r="R218" s="68"/>
      <c r="S218" s="68"/>
      <c r="T218" s="68">
        <f t="shared" ref="T218:T300" si="129">Q218-R218-S218</f>
        <v>0</v>
      </c>
      <c r="U218" s="68">
        <f t="shared" si="125"/>
        <v>0</v>
      </c>
      <c r="V218" s="68">
        <f t="shared" si="126"/>
        <v>0</v>
      </c>
      <c r="W218" s="68">
        <f t="shared" si="127"/>
        <v>0</v>
      </c>
      <c r="X218" s="68">
        <f t="shared" si="128"/>
        <v>0</v>
      </c>
      <c r="Y218" s="68">
        <f t="shared" si="111"/>
        <v>0</v>
      </c>
      <c r="Z218" s="68"/>
      <c r="AA218" s="68">
        <f t="shared" si="112"/>
        <v>0</v>
      </c>
      <c r="AB218" s="68"/>
      <c r="AC218" s="68"/>
      <c r="AD218" s="4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row>
    <row r="219" spans="1:54" ht="30.75" customHeight="1">
      <c r="A219" s="77">
        <v>48</v>
      </c>
      <c r="B219" s="53" t="s">
        <v>393</v>
      </c>
      <c r="C219" s="66" t="s">
        <v>537</v>
      </c>
      <c r="D219" s="67"/>
      <c r="E219" s="47">
        <f t="shared" si="95"/>
        <v>0</v>
      </c>
      <c r="F219" s="68">
        <f t="shared" si="114"/>
        <v>0</v>
      </c>
      <c r="G219" s="68">
        <f t="shared" si="63"/>
        <v>0</v>
      </c>
      <c r="H219" s="68">
        <f t="shared" si="115"/>
        <v>0</v>
      </c>
      <c r="I219" s="68">
        <f t="shared" si="116"/>
        <v>0</v>
      </c>
      <c r="J219" s="68">
        <f t="shared" si="117"/>
        <v>0</v>
      </c>
      <c r="K219" s="68">
        <f t="shared" si="118"/>
        <v>0</v>
      </c>
      <c r="L219" s="68">
        <f t="shared" si="119"/>
        <v>0</v>
      </c>
      <c r="M219" s="68">
        <f t="shared" si="120"/>
        <v>0</v>
      </c>
      <c r="N219" s="68">
        <f t="shared" si="121"/>
        <v>0</v>
      </c>
      <c r="O219" s="68">
        <f t="shared" si="122"/>
        <v>0</v>
      </c>
      <c r="P219" s="68">
        <f t="shared" si="123"/>
        <v>0</v>
      </c>
      <c r="Q219" s="68">
        <f t="shared" si="124"/>
        <v>0</v>
      </c>
      <c r="R219" s="68"/>
      <c r="S219" s="68"/>
      <c r="T219" s="68">
        <f t="shared" si="129"/>
        <v>0</v>
      </c>
      <c r="U219" s="68">
        <f t="shared" si="125"/>
        <v>0</v>
      </c>
      <c r="V219" s="68">
        <f t="shared" si="126"/>
        <v>0</v>
      </c>
      <c r="W219" s="68">
        <f t="shared" si="127"/>
        <v>0</v>
      </c>
      <c r="X219" s="68">
        <f t="shared" si="128"/>
        <v>0</v>
      </c>
      <c r="Y219" s="68">
        <f t="shared" si="111"/>
        <v>0</v>
      </c>
      <c r="Z219" s="68"/>
      <c r="AA219" s="68">
        <f t="shared" si="112"/>
        <v>0</v>
      </c>
      <c r="AB219" s="68"/>
      <c r="AC219" s="68"/>
      <c r="AD219" s="4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row>
    <row r="220" spans="1:54">
      <c r="A220" s="77">
        <v>49</v>
      </c>
      <c r="B220" s="53" t="s">
        <v>394</v>
      </c>
      <c r="C220" s="66" t="s">
        <v>537</v>
      </c>
      <c r="D220" s="67"/>
      <c r="E220" s="47">
        <f t="shared" si="95"/>
        <v>0</v>
      </c>
      <c r="F220" s="68">
        <f t="shared" si="114"/>
        <v>0</v>
      </c>
      <c r="G220" s="68">
        <f t="shared" si="63"/>
        <v>0</v>
      </c>
      <c r="H220" s="68">
        <f t="shared" si="115"/>
        <v>0</v>
      </c>
      <c r="I220" s="68">
        <f t="shared" si="116"/>
        <v>0</v>
      </c>
      <c r="J220" s="68">
        <f t="shared" si="117"/>
        <v>0</v>
      </c>
      <c r="K220" s="68">
        <f t="shared" si="118"/>
        <v>0</v>
      </c>
      <c r="L220" s="68">
        <f t="shared" si="119"/>
        <v>0</v>
      </c>
      <c r="M220" s="68">
        <f t="shared" si="120"/>
        <v>0</v>
      </c>
      <c r="N220" s="68">
        <f t="shared" si="121"/>
        <v>0</v>
      </c>
      <c r="O220" s="68">
        <f t="shared" si="122"/>
        <v>0</v>
      </c>
      <c r="P220" s="68">
        <f t="shared" si="123"/>
        <v>0</v>
      </c>
      <c r="Q220" s="68">
        <f t="shared" si="124"/>
        <v>0</v>
      </c>
      <c r="R220" s="68"/>
      <c r="S220" s="68"/>
      <c r="T220" s="68">
        <f t="shared" si="129"/>
        <v>0</v>
      </c>
      <c r="U220" s="68">
        <f t="shared" si="125"/>
        <v>0</v>
      </c>
      <c r="V220" s="68">
        <f t="shared" si="126"/>
        <v>0</v>
      </c>
      <c r="W220" s="68">
        <f t="shared" si="127"/>
        <v>0</v>
      </c>
      <c r="X220" s="68">
        <f t="shared" si="128"/>
        <v>0</v>
      </c>
      <c r="Y220" s="68">
        <f t="shared" si="111"/>
        <v>0</v>
      </c>
      <c r="Z220" s="68"/>
      <c r="AA220" s="68">
        <f t="shared" si="112"/>
        <v>0</v>
      </c>
      <c r="AB220" s="68"/>
      <c r="AC220" s="68"/>
      <c r="AD220" s="4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row>
    <row r="221" spans="1:54">
      <c r="A221" s="77">
        <v>50</v>
      </c>
      <c r="B221" s="65" t="s">
        <v>395</v>
      </c>
      <c r="C221" s="66" t="s">
        <v>537</v>
      </c>
      <c r="D221" s="67"/>
      <c r="E221" s="47">
        <f t="shared" si="95"/>
        <v>0</v>
      </c>
      <c r="F221" s="68">
        <f t="shared" si="114"/>
        <v>0</v>
      </c>
      <c r="G221" s="68">
        <f t="shared" si="63"/>
        <v>0</v>
      </c>
      <c r="H221" s="68">
        <f t="shared" si="115"/>
        <v>0</v>
      </c>
      <c r="I221" s="68">
        <f t="shared" si="116"/>
        <v>0</v>
      </c>
      <c r="J221" s="68">
        <f t="shared" si="117"/>
        <v>0</v>
      </c>
      <c r="K221" s="68">
        <f t="shared" si="118"/>
        <v>0</v>
      </c>
      <c r="L221" s="68">
        <f t="shared" si="119"/>
        <v>0</v>
      </c>
      <c r="M221" s="68">
        <f t="shared" si="120"/>
        <v>0</v>
      </c>
      <c r="N221" s="68">
        <f t="shared" si="121"/>
        <v>0</v>
      </c>
      <c r="O221" s="68">
        <f t="shared" si="122"/>
        <v>0</v>
      </c>
      <c r="P221" s="68">
        <f t="shared" si="123"/>
        <v>0</v>
      </c>
      <c r="Q221" s="68">
        <f t="shared" si="124"/>
        <v>0</v>
      </c>
      <c r="R221" s="68"/>
      <c r="S221" s="68"/>
      <c r="T221" s="68">
        <f t="shared" si="129"/>
        <v>0</v>
      </c>
      <c r="U221" s="68">
        <f t="shared" si="125"/>
        <v>0</v>
      </c>
      <c r="V221" s="68">
        <f t="shared" si="126"/>
        <v>0</v>
      </c>
      <c r="W221" s="68">
        <f t="shared" si="127"/>
        <v>0</v>
      </c>
      <c r="X221" s="68">
        <f t="shared" si="128"/>
        <v>0</v>
      </c>
      <c r="Y221" s="68">
        <f t="shared" si="111"/>
        <v>0</v>
      </c>
      <c r="Z221" s="68"/>
      <c r="AA221" s="68">
        <f t="shared" si="112"/>
        <v>0</v>
      </c>
      <c r="AB221" s="68"/>
      <c r="AC221" s="68"/>
      <c r="AD221" s="4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row>
    <row r="222" spans="1:54">
      <c r="A222" s="77">
        <v>51</v>
      </c>
      <c r="B222" s="65" t="s">
        <v>396</v>
      </c>
      <c r="C222" s="66"/>
      <c r="D222" s="67"/>
      <c r="E222" s="47">
        <f t="shared" si="95"/>
        <v>0</v>
      </c>
      <c r="F222" s="68">
        <f t="shared" ref="F222:Y222" si="130">F223+F224</f>
        <v>0</v>
      </c>
      <c r="G222" s="68">
        <f t="shared" si="130"/>
        <v>0</v>
      </c>
      <c r="H222" s="68">
        <f t="shared" si="130"/>
        <v>0</v>
      </c>
      <c r="I222" s="68">
        <f t="shared" si="130"/>
        <v>0</v>
      </c>
      <c r="J222" s="68">
        <f t="shared" si="130"/>
        <v>0</v>
      </c>
      <c r="K222" s="68">
        <f t="shared" si="130"/>
        <v>0</v>
      </c>
      <c r="L222" s="68">
        <f t="shared" si="130"/>
        <v>0</v>
      </c>
      <c r="M222" s="68">
        <f t="shared" si="130"/>
        <v>0</v>
      </c>
      <c r="N222" s="68">
        <f t="shared" si="130"/>
        <v>0</v>
      </c>
      <c r="O222" s="68">
        <f t="shared" si="130"/>
        <v>0</v>
      </c>
      <c r="P222" s="68">
        <f t="shared" si="130"/>
        <v>0</v>
      </c>
      <c r="Q222" s="68">
        <f t="shared" si="130"/>
        <v>0</v>
      </c>
      <c r="R222" s="68">
        <f t="shared" si="130"/>
        <v>0</v>
      </c>
      <c r="S222" s="68">
        <f t="shared" si="130"/>
        <v>0</v>
      </c>
      <c r="T222" s="68">
        <f t="shared" si="130"/>
        <v>0</v>
      </c>
      <c r="U222" s="68">
        <f t="shared" si="130"/>
        <v>0</v>
      </c>
      <c r="V222" s="68">
        <f t="shared" si="130"/>
        <v>0</v>
      </c>
      <c r="W222" s="68">
        <f t="shared" si="130"/>
        <v>0</v>
      </c>
      <c r="X222" s="68">
        <f t="shared" si="130"/>
        <v>0</v>
      </c>
      <c r="Y222" s="68">
        <f t="shared" si="130"/>
        <v>0</v>
      </c>
      <c r="Z222" s="68"/>
      <c r="AA222" s="68">
        <f t="shared" si="112"/>
        <v>0</v>
      </c>
      <c r="AB222" s="68"/>
      <c r="AC222" s="68"/>
      <c r="AD222" s="4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row>
    <row r="223" spans="1:54" ht="12.75" hidden="1" customHeight="1" outlineLevel="1">
      <c r="A223" s="70" t="s">
        <v>30</v>
      </c>
      <c r="B223" s="65" t="s">
        <v>397</v>
      </c>
      <c r="C223" s="66" t="s">
        <v>537</v>
      </c>
      <c r="D223" s="67"/>
      <c r="E223" s="47">
        <f t="shared" si="95"/>
        <v>0</v>
      </c>
      <c r="F223" s="68">
        <f>IF($C223="820",$D223,)</f>
        <v>0</v>
      </c>
      <c r="G223" s="68">
        <f t="shared" si="63"/>
        <v>0</v>
      </c>
      <c r="H223" s="68">
        <f>IF($C223="864",$D223,)</f>
        <v>0</v>
      </c>
      <c r="I223" s="68">
        <f>IF($C223="867",$D223,)</f>
        <v>0</v>
      </c>
      <c r="J223" s="68">
        <f>IF($C223="861",$D223,)</f>
        <v>0</v>
      </c>
      <c r="K223" s="68">
        <f>IF($C223="862",$D223,)</f>
        <v>0</v>
      </c>
      <c r="L223" s="68">
        <f>IF($C223="865",$D223,)</f>
        <v>0</v>
      </c>
      <c r="M223" s="68">
        <f>IF($C223="868",$D223,)</f>
        <v>0</v>
      </c>
      <c r="N223" s="68">
        <f>IF($C223="869",$D223,)</f>
        <v>0</v>
      </c>
      <c r="O223" s="68">
        <f>IF($C223="871",$D223,)</f>
        <v>0</v>
      </c>
      <c r="P223" s="68">
        <f>IF($C223="874",$D223,)</f>
        <v>0</v>
      </c>
      <c r="Q223" s="68">
        <f>IF($C223="873",$D223,)</f>
        <v>0</v>
      </c>
      <c r="R223" s="68"/>
      <c r="S223" s="68"/>
      <c r="T223" s="68">
        <f t="shared" si="129"/>
        <v>0</v>
      </c>
      <c r="U223" s="68">
        <f>IF($C223="877",$D223,)</f>
        <v>0</v>
      </c>
      <c r="V223" s="68">
        <f>IF($C223="875",$D223,)</f>
        <v>0</v>
      </c>
      <c r="W223" s="68">
        <f>IF($C223="872",$D223,)</f>
        <v>0</v>
      </c>
      <c r="X223" s="68">
        <f>IF($C223="909",$D223,)</f>
        <v>0</v>
      </c>
      <c r="Y223" s="68">
        <f>IF(OR($C223="932",$C223="934",$C223="949"),$D223,)</f>
        <v>0</v>
      </c>
      <c r="Z223" s="68"/>
      <c r="AA223" s="68">
        <f t="shared" si="112"/>
        <v>0</v>
      </c>
      <c r="AB223" s="68"/>
      <c r="AC223" s="68"/>
      <c r="AD223" s="4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row>
    <row r="224" spans="1:54" ht="12.75" hidden="1" customHeight="1" outlineLevel="1">
      <c r="A224" s="70" t="s">
        <v>30</v>
      </c>
      <c r="B224" s="65" t="s">
        <v>350</v>
      </c>
      <c r="C224" s="66" t="s">
        <v>538</v>
      </c>
      <c r="D224" s="67"/>
      <c r="E224" s="47">
        <f t="shared" si="95"/>
        <v>0</v>
      </c>
      <c r="F224" s="68">
        <f>IF($C224="820",$D224,)</f>
        <v>0</v>
      </c>
      <c r="G224" s="68">
        <f t="shared" si="63"/>
        <v>0</v>
      </c>
      <c r="H224" s="68">
        <f>IF($C224="864",$D224,)</f>
        <v>0</v>
      </c>
      <c r="I224" s="68">
        <f>IF($C224="867",$D224,)</f>
        <v>0</v>
      </c>
      <c r="J224" s="68">
        <f>IF($C224="861",$D224,)</f>
        <v>0</v>
      </c>
      <c r="K224" s="68">
        <f>IF($C224="862",$D224,)</f>
        <v>0</v>
      </c>
      <c r="L224" s="68">
        <f>IF($C224="865",$D224,)</f>
        <v>0</v>
      </c>
      <c r="M224" s="68">
        <f>IF($C224="868",$D224,)</f>
        <v>0</v>
      </c>
      <c r="N224" s="68">
        <f>IF($C224="869",$D224,)</f>
        <v>0</v>
      </c>
      <c r="O224" s="68">
        <f>IF($C224="871",$D224,)</f>
        <v>0</v>
      </c>
      <c r="P224" s="68">
        <f>IF($C224="874",$D224,)</f>
        <v>0</v>
      </c>
      <c r="Q224" s="68">
        <f>IF($C224="873",$D224,)</f>
        <v>0</v>
      </c>
      <c r="R224" s="68"/>
      <c r="S224" s="68"/>
      <c r="T224" s="68">
        <f t="shared" si="129"/>
        <v>0</v>
      </c>
      <c r="U224" s="68">
        <f>IF($C224="877",$D224,)</f>
        <v>0</v>
      </c>
      <c r="V224" s="68">
        <f>IF($C224="875",$D224,)</f>
        <v>0</v>
      </c>
      <c r="W224" s="68">
        <f>IF($C224="872",$D224,)</f>
        <v>0</v>
      </c>
      <c r="X224" s="68">
        <f>IF($C224="909",$D224,)</f>
        <v>0</v>
      </c>
      <c r="Y224" s="68">
        <f>IF(OR($C224="932",$C224="934",$C224="949"),$D224,)</f>
        <v>0</v>
      </c>
      <c r="Z224" s="68"/>
      <c r="AA224" s="68">
        <f t="shared" si="112"/>
        <v>0</v>
      </c>
      <c r="AB224" s="68"/>
      <c r="AC224" s="68"/>
      <c r="AD224" s="4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row>
    <row r="225" spans="1:54" collapsed="1">
      <c r="A225" s="77">
        <v>52</v>
      </c>
      <c r="B225" s="65" t="s">
        <v>398</v>
      </c>
      <c r="C225" s="66"/>
      <c r="D225" s="67"/>
      <c r="E225" s="47">
        <f t="shared" si="95"/>
        <v>0</v>
      </c>
      <c r="F225" s="68">
        <f t="shared" ref="F225:Y225" si="131">SUM(F226:F232)</f>
        <v>0</v>
      </c>
      <c r="G225" s="68">
        <f t="shared" si="131"/>
        <v>0</v>
      </c>
      <c r="H225" s="68">
        <f t="shared" si="131"/>
        <v>0</v>
      </c>
      <c r="I225" s="68">
        <f t="shared" si="131"/>
        <v>0</v>
      </c>
      <c r="J225" s="68">
        <f t="shared" si="131"/>
        <v>0</v>
      </c>
      <c r="K225" s="68">
        <f t="shared" si="131"/>
        <v>0</v>
      </c>
      <c r="L225" s="68">
        <f t="shared" si="131"/>
        <v>0</v>
      </c>
      <c r="M225" s="68">
        <f t="shared" si="131"/>
        <v>0</v>
      </c>
      <c r="N225" s="68">
        <f t="shared" si="131"/>
        <v>0</v>
      </c>
      <c r="O225" s="68">
        <f t="shared" si="131"/>
        <v>0</v>
      </c>
      <c r="P225" s="68">
        <f t="shared" si="131"/>
        <v>0</v>
      </c>
      <c r="Q225" s="68">
        <f t="shared" si="131"/>
        <v>0</v>
      </c>
      <c r="R225" s="68">
        <f t="shared" si="131"/>
        <v>0</v>
      </c>
      <c r="S225" s="68">
        <f t="shared" si="131"/>
        <v>0</v>
      </c>
      <c r="T225" s="68">
        <f t="shared" si="131"/>
        <v>0</v>
      </c>
      <c r="U225" s="68">
        <f t="shared" si="131"/>
        <v>0</v>
      </c>
      <c r="V225" s="68">
        <f t="shared" si="131"/>
        <v>0</v>
      </c>
      <c r="W225" s="68">
        <f t="shared" si="131"/>
        <v>0</v>
      </c>
      <c r="X225" s="68">
        <f t="shared" si="131"/>
        <v>0</v>
      </c>
      <c r="Y225" s="68">
        <f t="shared" si="131"/>
        <v>0</v>
      </c>
      <c r="Z225" s="68"/>
      <c r="AA225" s="68">
        <f t="shared" si="112"/>
        <v>0</v>
      </c>
      <c r="AB225" s="68"/>
      <c r="AC225" s="68"/>
      <c r="AD225" s="4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row>
    <row r="226" spans="1:54">
      <c r="A226" s="70" t="s">
        <v>30</v>
      </c>
      <c r="B226" s="53" t="s">
        <v>399</v>
      </c>
      <c r="C226" s="66" t="s">
        <v>537</v>
      </c>
      <c r="D226" s="67"/>
      <c r="E226" s="47">
        <f t="shared" si="95"/>
        <v>0</v>
      </c>
      <c r="F226" s="68">
        <f>IF($C226="820",$D226,)</f>
        <v>0</v>
      </c>
      <c r="G226" s="68">
        <f t="shared" si="63"/>
        <v>0</v>
      </c>
      <c r="H226" s="68">
        <f>IF($C226="864",$D226,)</f>
        <v>0</v>
      </c>
      <c r="I226" s="68">
        <f>IF($C226="867",$D226,)</f>
        <v>0</v>
      </c>
      <c r="J226" s="68">
        <f>IF($C226="861",$D226,)</f>
        <v>0</v>
      </c>
      <c r="K226" s="68">
        <f>IF($C226="862",$D226,)</f>
        <v>0</v>
      </c>
      <c r="L226" s="68">
        <f>IF($C226="865",$D226,)</f>
        <v>0</v>
      </c>
      <c r="M226" s="68">
        <f>IF($C226="868",$D226,)</f>
        <v>0</v>
      </c>
      <c r="N226" s="68">
        <f>IF($C226="869",$D226,)</f>
        <v>0</v>
      </c>
      <c r="O226" s="68">
        <f>IF($C226="871",$D226,)</f>
        <v>0</v>
      </c>
      <c r="P226" s="68">
        <f>IF($C226="874",$D226,)</f>
        <v>0</v>
      </c>
      <c r="Q226" s="68">
        <f>IF($C226="873",$D226,)</f>
        <v>0</v>
      </c>
      <c r="R226" s="68"/>
      <c r="S226" s="68"/>
      <c r="T226" s="68">
        <f t="shared" si="129"/>
        <v>0</v>
      </c>
      <c r="U226" s="68">
        <f>IF($C226="877",$D226,)</f>
        <v>0</v>
      </c>
      <c r="V226" s="68">
        <f>IF($C226="875",$D226,)</f>
        <v>0</v>
      </c>
      <c r="W226" s="68">
        <f>IF($C226="872",$D226,)</f>
        <v>0</v>
      </c>
      <c r="X226" s="68">
        <f>IF($C226="909",$D226,)</f>
        <v>0</v>
      </c>
      <c r="Y226" s="68">
        <f>IF(OR($C226="932",$C226="934",$C226="949"),$D226,)</f>
        <v>0</v>
      </c>
      <c r="Z226" s="68"/>
      <c r="AA226" s="68">
        <f t="shared" si="112"/>
        <v>0</v>
      </c>
      <c r="AB226" s="68"/>
      <c r="AC226" s="68"/>
      <c r="AD226" s="4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row>
    <row r="227" spans="1:54">
      <c r="A227" s="70" t="s">
        <v>30</v>
      </c>
      <c r="B227" s="53" t="s">
        <v>400</v>
      </c>
      <c r="C227" s="66" t="s">
        <v>537</v>
      </c>
      <c r="D227" s="67"/>
      <c r="E227" s="47">
        <f t="shared" si="95"/>
        <v>0</v>
      </c>
      <c r="F227" s="68">
        <f>IF($C227="820",$D227,)</f>
        <v>0</v>
      </c>
      <c r="G227" s="68">
        <f t="shared" si="63"/>
        <v>0</v>
      </c>
      <c r="H227" s="68">
        <f>IF($C227="864",$D227,)</f>
        <v>0</v>
      </c>
      <c r="I227" s="68">
        <f>IF($C227="867",$D227,)</f>
        <v>0</v>
      </c>
      <c r="J227" s="68">
        <f>IF($C227="861",$D227,)</f>
        <v>0</v>
      </c>
      <c r="K227" s="68">
        <f>IF($C227="862",$D227,)</f>
        <v>0</v>
      </c>
      <c r="L227" s="68">
        <f>IF($C227="865",$D227,)</f>
        <v>0</v>
      </c>
      <c r="M227" s="68">
        <f>IF($C227="868",$D227,)</f>
        <v>0</v>
      </c>
      <c r="N227" s="68">
        <f>IF($C227="869",$D227,)</f>
        <v>0</v>
      </c>
      <c r="O227" s="68">
        <f>IF($C227="871",$D227,)</f>
        <v>0</v>
      </c>
      <c r="P227" s="68">
        <f>IF($C227="874",$D227,)</f>
        <v>0</v>
      </c>
      <c r="Q227" s="68">
        <f>IF($C227="873",$D227,)</f>
        <v>0</v>
      </c>
      <c r="R227" s="68"/>
      <c r="S227" s="68"/>
      <c r="T227" s="68">
        <f t="shared" si="129"/>
        <v>0</v>
      </c>
      <c r="U227" s="68">
        <f>IF($C227="877",$D227,)</f>
        <v>0</v>
      </c>
      <c r="V227" s="68">
        <f>IF($C227="875",$D227,)</f>
        <v>0</v>
      </c>
      <c r="W227" s="68">
        <f>IF($C227="872",$D227,)</f>
        <v>0</v>
      </c>
      <c r="X227" s="68">
        <f>IF($C227="909",$D227,)</f>
        <v>0</v>
      </c>
      <c r="Y227" s="68">
        <f>IF(OR($C227="932",$C227="934",$C227="949"),$D227,)</f>
        <v>0</v>
      </c>
      <c r="Z227" s="68"/>
      <c r="AA227" s="68">
        <f t="shared" si="112"/>
        <v>0</v>
      </c>
      <c r="AB227" s="68"/>
      <c r="AC227" s="68"/>
      <c r="AD227" s="4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row>
    <row r="228" spans="1:54">
      <c r="A228" s="70" t="s">
        <v>30</v>
      </c>
      <c r="B228" s="53" t="s">
        <v>401</v>
      </c>
      <c r="C228" s="66" t="s">
        <v>537</v>
      </c>
      <c r="D228" s="67"/>
      <c r="E228" s="47">
        <f t="shared" si="95"/>
        <v>0</v>
      </c>
      <c r="F228" s="68">
        <f>IF($C228="820",$D228,)</f>
        <v>0</v>
      </c>
      <c r="G228" s="68">
        <f t="shared" si="63"/>
        <v>0</v>
      </c>
      <c r="H228" s="68">
        <f>IF($C228="864",$D228,)</f>
        <v>0</v>
      </c>
      <c r="I228" s="68">
        <f>IF($C228="867",$D228,)</f>
        <v>0</v>
      </c>
      <c r="J228" s="68">
        <f>IF($C228="861",$D228,)</f>
        <v>0</v>
      </c>
      <c r="K228" s="68">
        <f>IF($C228="862",$D228,)</f>
        <v>0</v>
      </c>
      <c r="L228" s="68">
        <f>IF($C228="865",$D228,)</f>
        <v>0</v>
      </c>
      <c r="M228" s="68">
        <f>IF($C228="868",$D228,)</f>
        <v>0</v>
      </c>
      <c r="N228" s="68">
        <f>IF($C228="869",$D228,)</f>
        <v>0</v>
      </c>
      <c r="O228" s="68">
        <f>IF($C228="871",$D228,)</f>
        <v>0</v>
      </c>
      <c r="P228" s="68">
        <f>IF($C228="874",$D228,)</f>
        <v>0</v>
      </c>
      <c r="Q228" s="68">
        <f>IF($C228="873",$D228,)</f>
        <v>0</v>
      </c>
      <c r="R228" s="68"/>
      <c r="S228" s="68"/>
      <c r="T228" s="68">
        <f t="shared" si="129"/>
        <v>0</v>
      </c>
      <c r="U228" s="68">
        <f>IF($C228="877",$D228,)</f>
        <v>0</v>
      </c>
      <c r="V228" s="68">
        <f>IF($C228="875",$D228,)</f>
        <v>0</v>
      </c>
      <c r="W228" s="68">
        <f>IF($C228="872",$D228,)</f>
        <v>0</v>
      </c>
      <c r="X228" s="68">
        <f>IF($C228="909",$D228,)</f>
        <v>0</v>
      </c>
      <c r="Y228" s="68">
        <f>IF(OR($C228="932",$C228="934",$C228="949"),$D228,)</f>
        <v>0</v>
      </c>
      <c r="Z228" s="68"/>
      <c r="AA228" s="68">
        <f t="shared" si="112"/>
        <v>0</v>
      </c>
      <c r="AB228" s="68"/>
      <c r="AC228" s="68"/>
      <c r="AD228" s="4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row>
    <row r="229" spans="1:54">
      <c r="A229" s="70" t="s">
        <v>30</v>
      </c>
      <c r="B229" s="53" t="s">
        <v>402</v>
      </c>
      <c r="C229" s="66" t="s">
        <v>537</v>
      </c>
      <c r="D229" s="67"/>
      <c r="E229" s="47">
        <f t="shared" si="95"/>
        <v>0</v>
      </c>
      <c r="F229" s="68">
        <f>IF($C229="820",$D229,)</f>
        <v>0</v>
      </c>
      <c r="G229" s="68">
        <f t="shared" si="63"/>
        <v>0</v>
      </c>
      <c r="H229" s="68">
        <f>IF($C229="864",$D229,)</f>
        <v>0</v>
      </c>
      <c r="I229" s="68">
        <f>IF($C229="867",$D229,)</f>
        <v>0</v>
      </c>
      <c r="J229" s="68">
        <f>IF($C229="861",$D229,)</f>
        <v>0</v>
      </c>
      <c r="K229" s="68">
        <f>IF($C229="862",$D229,)</f>
        <v>0</v>
      </c>
      <c r="L229" s="68">
        <f>IF($C229="865",$D229,)</f>
        <v>0</v>
      </c>
      <c r="M229" s="68">
        <f>IF($C229="868",$D229,)</f>
        <v>0</v>
      </c>
      <c r="N229" s="68">
        <f>IF($C229="869",$D229,)</f>
        <v>0</v>
      </c>
      <c r="O229" s="68">
        <f>IF($C229="871",$D229,)</f>
        <v>0</v>
      </c>
      <c r="P229" s="68">
        <f>IF($C229="874",$D229,)</f>
        <v>0</v>
      </c>
      <c r="Q229" s="68">
        <f>IF($C229="873",$D229,)</f>
        <v>0</v>
      </c>
      <c r="R229" s="68"/>
      <c r="S229" s="68"/>
      <c r="T229" s="68">
        <f t="shared" si="129"/>
        <v>0</v>
      </c>
      <c r="U229" s="68">
        <f>IF($C229="877",$D229,)</f>
        <v>0</v>
      </c>
      <c r="V229" s="68">
        <f>IF($C229="875",$D229,)</f>
        <v>0</v>
      </c>
      <c r="W229" s="68">
        <f>IF($C229="872",$D229,)</f>
        <v>0</v>
      </c>
      <c r="X229" s="68">
        <f>IF($C229="909",$D229,)</f>
        <v>0</v>
      </c>
      <c r="Y229" s="68">
        <f>IF(OR($C229="932",$C229="934",$C229="949"),$D229,)</f>
        <v>0</v>
      </c>
      <c r="Z229" s="68"/>
      <c r="AA229" s="68">
        <f t="shared" si="112"/>
        <v>0</v>
      </c>
      <c r="AB229" s="68"/>
      <c r="AC229" s="68"/>
      <c r="AD229" s="4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row>
    <row r="230" spans="1:54">
      <c r="A230" s="70" t="s">
        <v>30</v>
      </c>
      <c r="B230" s="53" t="s">
        <v>403</v>
      </c>
      <c r="C230" s="66" t="s">
        <v>537</v>
      </c>
      <c r="D230" s="67"/>
      <c r="E230" s="47">
        <f t="shared" si="95"/>
        <v>0</v>
      </c>
      <c r="F230" s="68">
        <f>IF($C230="820",$D230,)</f>
        <v>0</v>
      </c>
      <c r="G230" s="68">
        <f t="shared" si="63"/>
        <v>0</v>
      </c>
      <c r="H230" s="68">
        <f>IF($C230="864",$D230,)</f>
        <v>0</v>
      </c>
      <c r="I230" s="68">
        <f>IF($C230="867",$D230,)</f>
        <v>0</v>
      </c>
      <c r="J230" s="68">
        <f>IF($C230="861",$D230,)</f>
        <v>0</v>
      </c>
      <c r="K230" s="68">
        <f>IF($C230="862",$D230,)</f>
        <v>0</v>
      </c>
      <c r="L230" s="68">
        <f>IF($C230="865",$D230,)</f>
        <v>0</v>
      </c>
      <c r="M230" s="68">
        <f>IF($C230="868",$D230,)</f>
        <v>0</v>
      </c>
      <c r="N230" s="68">
        <f>IF($C230="869",$D230,)</f>
        <v>0</v>
      </c>
      <c r="O230" s="68">
        <f>IF($C230="871",$D230,)</f>
        <v>0</v>
      </c>
      <c r="P230" s="68">
        <f>IF($C230="874",$D230,)</f>
        <v>0</v>
      </c>
      <c r="Q230" s="68">
        <f>IF($C230="873",$D230,)</f>
        <v>0</v>
      </c>
      <c r="R230" s="68"/>
      <c r="S230" s="68"/>
      <c r="T230" s="68">
        <f t="shared" si="129"/>
        <v>0</v>
      </c>
      <c r="U230" s="68">
        <f>IF($C230="877",$D230,)</f>
        <v>0</v>
      </c>
      <c r="V230" s="68">
        <f>IF($C230="875",$D230,)</f>
        <v>0</v>
      </c>
      <c r="W230" s="68">
        <f>IF($C230="872",$D230,)</f>
        <v>0</v>
      </c>
      <c r="X230" s="68">
        <f>IF($C230="909",$D230,)</f>
        <v>0</v>
      </c>
      <c r="Y230" s="68">
        <f>IF(OR($C230="932",$C230="934",$C230="949"),$D230,)</f>
        <v>0</v>
      </c>
      <c r="Z230" s="68"/>
      <c r="AA230" s="68">
        <f t="shared" si="112"/>
        <v>0</v>
      </c>
      <c r="AB230" s="68"/>
      <c r="AC230" s="68"/>
      <c r="AD230" s="4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row>
    <row r="231" spans="1:54" ht="12.75" hidden="1" customHeight="1" outlineLevel="1">
      <c r="A231" s="70" t="s">
        <v>30</v>
      </c>
      <c r="B231" s="53"/>
      <c r="C231" s="66"/>
      <c r="D231" s="67"/>
      <c r="E231" s="47">
        <f t="shared" si="95"/>
        <v>0</v>
      </c>
      <c r="F231" s="68">
        <f t="shared" ref="F231:F232" si="132">IF($C231="820",$D231,)</f>
        <v>0</v>
      </c>
      <c r="G231" s="68">
        <f t="shared" si="63"/>
        <v>0</v>
      </c>
      <c r="H231" s="68">
        <f t="shared" ref="H231:H232" si="133">IF($C231="864",$D231,)</f>
        <v>0</v>
      </c>
      <c r="I231" s="68">
        <f t="shared" ref="I231:I232" si="134">IF($C231="867",$D231,)</f>
        <v>0</v>
      </c>
      <c r="J231" s="68">
        <f t="shared" ref="J231:J232" si="135">IF($C231="861",$D231,)</f>
        <v>0</v>
      </c>
      <c r="K231" s="68">
        <f t="shared" ref="K231:K232" si="136">IF($C231="862",$D231,)</f>
        <v>0</v>
      </c>
      <c r="L231" s="68">
        <f t="shared" ref="L231:L232" si="137">IF($C231="865",$D231,)</f>
        <v>0</v>
      </c>
      <c r="M231" s="68">
        <f t="shared" ref="M231:M232" si="138">IF($C231="868",$D231,)</f>
        <v>0</v>
      </c>
      <c r="N231" s="68">
        <f t="shared" ref="N231:N232" si="139">IF($C231="869",$D231,)</f>
        <v>0</v>
      </c>
      <c r="O231" s="68">
        <f t="shared" ref="O231:O232" si="140">IF($C231="871",$D231,)</f>
        <v>0</v>
      </c>
      <c r="P231" s="68">
        <f t="shared" ref="P231:P232" si="141">IF($C231="874",$D231,)</f>
        <v>0</v>
      </c>
      <c r="Q231" s="68">
        <f t="shared" ref="Q231:Q232" si="142">IF($C231="873",$D231,)</f>
        <v>0</v>
      </c>
      <c r="R231" s="68"/>
      <c r="S231" s="68"/>
      <c r="T231" s="68">
        <f t="shared" si="129"/>
        <v>0</v>
      </c>
      <c r="U231" s="68">
        <f t="shared" ref="U231:U232" si="143">IF($C231="877",$D231,)</f>
        <v>0</v>
      </c>
      <c r="V231" s="68">
        <f t="shared" ref="V231:V232" si="144">IF($C231="875",$D231,)</f>
        <v>0</v>
      </c>
      <c r="W231" s="68">
        <f t="shared" ref="W231:W232" si="145">IF($C231="872",$D231,)</f>
        <v>0</v>
      </c>
      <c r="X231" s="68">
        <f t="shared" ref="X231:X232" si="146">IF($C231="909",$D231,)</f>
        <v>0</v>
      </c>
      <c r="Y231" s="68">
        <f t="shared" ref="Y231:Y299" si="147">IF(OR($C231="932",$C231="934",$C231="949"),$D231,)</f>
        <v>0</v>
      </c>
      <c r="Z231" s="68"/>
      <c r="AA231" s="68">
        <f t="shared" si="112"/>
        <v>0</v>
      </c>
      <c r="AB231" s="68"/>
      <c r="AC231" s="68"/>
      <c r="AD231" s="4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row>
    <row r="232" spans="1:54" ht="25.5" collapsed="1">
      <c r="A232" s="70" t="s">
        <v>30</v>
      </c>
      <c r="B232" s="53" t="s">
        <v>404</v>
      </c>
      <c r="C232" s="66" t="s">
        <v>537</v>
      </c>
      <c r="D232" s="67"/>
      <c r="E232" s="47">
        <f t="shared" si="95"/>
        <v>0</v>
      </c>
      <c r="F232" s="68">
        <f t="shared" si="132"/>
        <v>0</v>
      </c>
      <c r="G232" s="68">
        <f t="shared" si="63"/>
        <v>0</v>
      </c>
      <c r="H232" s="68">
        <f t="shared" si="133"/>
        <v>0</v>
      </c>
      <c r="I232" s="68">
        <f t="shared" si="134"/>
        <v>0</v>
      </c>
      <c r="J232" s="68">
        <f t="shared" si="135"/>
        <v>0</v>
      </c>
      <c r="K232" s="68">
        <f t="shared" si="136"/>
        <v>0</v>
      </c>
      <c r="L232" s="68">
        <f t="shared" si="137"/>
        <v>0</v>
      </c>
      <c r="M232" s="68">
        <f t="shared" si="138"/>
        <v>0</v>
      </c>
      <c r="N232" s="68">
        <f t="shared" si="139"/>
        <v>0</v>
      </c>
      <c r="O232" s="68">
        <f t="shared" si="140"/>
        <v>0</v>
      </c>
      <c r="P232" s="68">
        <f t="shared" si="141"/>
        <v>0</v>
      </c>
      <c r="Q232" s="68">
        <f t="shared" si="142"/>
        <v>0</v>
      </c>
      <c r="R232" s="68"/>
      <c r="S232" s="68"/>
      <c r="T232" s="68">
        <f t="shared" si="129"/>
        <v>0</v>
      </c>
      <c r="U232" s="68">
        <f t="shared" si="143"/>
        <v>0</v>
      </c>
      <c r="V232" s="68">
        <f t="shared" si="144"/>
        <v>0</v>
      </c>
      <c r="W232" s="68">
        <f t="shared" si="145"/>
        <v>0</v>
      </c>
      <c r="X232" s="68">
        <f t="shared" si="146"/>
        <v>0</v>
      </c>
      <c r="Y232" s="68">
        <f t="shared" si="147"/>
        <v>0</v>
      </c>
      <c r="Z232" s="68"/>
      <c r="AA232" s="68">
        <f t="shared" si="112"/>
        <v>0</v>
      </c>
      <c r="AB232" s="68"/>
      <c r="AC232" s="68"/>
      <c r="AD232" s="4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row>
    <row r="233" spans="1:54" ht="25.5">
      <c r="A233" s="77">
        <v>53</v>
      </c>
      <c r="B233" s="53" t="s">
        <v>405</v>
      </c>
      <c r="C233" s="66"/>
      <c r="D233" s="67"/>
      <c r="E233" s="47">
        <f t="shared" si="95"/>
        <v>0</v>
      </c>
      <c r="F233" s="68">
        <f t="shared" ref="F233" si="148">SUM(F234:F245)</f>
        <v>0</v>
      </c>
      <c r="G233" s="68">
        <f t="shared" si="63"/>
        <v>0</v>
      </c>
      <c r="H233" s="68">
        <f>SUM(H234:H245)</f>
        <v>0</v>
      </c>
      <c r="I233" s="68">
        <f t="shared" ref="I233:Q233" si="149">SUM(I234:I245)</f>
        <v>0</v>
      </c>
      <c r="J233" s="68">
        <f t="shared" si="149"/>
        <v>0</v>
      </c>
      <c r="K233" s="68">
        <f t="shared" si="149"/>
        <v>0</v>
      </c>
      <c r="L233" s="68">
        <f t="shared" si="149"/>
        <v>0</v>
      </c>
      <c r="M233" s="68">
        <f t="shared" si="149"/>
        <v>0</v>
      </c>
      <c r="N233" s="68">
        <f t="shared" si="149"/>
        <v>0</v>
      </c>
      <c r="O233" s="68">
        <f t="shared" si="149"/>
        <v>0</v>
      </c>
      <c r="P233" s="68">
        <f t="shared" si="149"/>
        <v>0</v>
      </c>
      <c r="Q233" s="68">
        <f t="shared" si="149"/>
        <v>0</v>
      </c>
      <c r="R233" s="68"/>
      <c r="S233" s="68"/>
      <c r="T233" s="68">
        <f t="shared" si="129"/>
        <v>0</v>
      </c>
      <c r="U233" s="68">
        <f>SUM(U234:U245)</f>
        <v>0</v>
      </c>
      <c r="V233" s="68">
        <f>SUM(V234:V245)</f>
        <v>0</v>
      </c>
      <c r="W233" s="68">
        <f>SUM(W234:W245)</f>
        <v>0</v>
      </c>
      <c r="X233" s="68">
        <f>SUM(X234:X245)</f>
        <v>0</v>
      </c>
      <c r="Y233" s="68">
        <f t="shared" si="147"/>
        <v>0</v>
      </c>
      <c r="Z233" s="68"/>
      <c r="AA233" s="68">
        <f t="shared" si="112"/>
        <v>0</v>
      </c>
      <c r="AB233" s="68"/>
      <c r="AC233" s="68"/>
      <c r="AD233" s="4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row>
    <row r="234" spans="1:54">
      <c r="A234" s="70" t="s">
        <v>30</v>
      </c>
      <c r="B234" s="53" t="s">
        <v>406</v>
      </c>
      <c r="C234" s="66" t="s">
        <v>537</v>
      </c>
      <c r="D234" s="67"/>
      <c r="E234" s="47">
        <f t="shared" si="95"/>
        <v>0</v>
      </c>
      <c r="F234" s="68">
        <f t="shared" ref="F234:F245" si="150">IF($C234="820",$D234,)</f>
        <v>0</v>
      </c>
      <c r="G234" s="68">
        <f t="shared" si="63"/>
        <v>0</v>
      </c>
      <c r="H234" s="68">
        <f t="shared" ref="H234:H245" si="151">IF($C234="864",$D234,)</f>
        <v>0</v>
      </c>
      <c r="I234" s="68">
        <f t="shared" ref="I234:I245" si="152">IF($C234="867",$D234,)</f>
        <v>0</v>
      </c>
      <c r="J234" s="68">
        <f t="shared" ref="J234:J245" si="153">IF($C234="861",$D234,)</f>
        <v>0</v>
      </c>
      <c r="K234" s="68">
        <f t="shared" ref="K234:K245" si="154">IF($C234="862",$D234,)</f>
        <v>0</v>
      </c>
      <c r="L234" s="68">
        <f t="shared" ref="L234:L245" si="155">IF($C234="865",$D234,)</f>
        <v>0</v>
      </c>
      <c r="M234" s="68">
        <f t="shared" ref="M234:M245" si="156">IF($C234="868",$D234,)</f>
        <v>0</v>
      </c>
      <c r="N234" s="68">
        <f t="shared" ref="N234:N245" si="157">IF($C234="869",$D234,)</f>
        <v>0</v>
      </c>
      <c r="O234" s="68">
        <f t="shared" ref="O234:O245" si="158">IF($C234="871",$D234,)</f>
        <v>0</v>
      </c>
      <c r="P234" s="68">
        <f t="shared" ref="P234:P245" si="159">IF($C234="874",$D234,)</f>
        <v>0</v>
      </c>
      <c r="Q234" s="68">
        <f t="shared" ref="Q234:Q245" si="160">IF($C234="873",$D234,)</f>
        <v>0</v>
      </c>
      <c r="R234" s="68"/>
      <c r="S234" s="68"/>
      <c r="T234" s="68">
        <f t="shared" si="129"/>
        <v>0</v>
      </c>
      <c r="U234" s="68">
        <f t="shared" ref="U234:U245" si="161">IF($C234="877",$D234,)</f>
        <v>0</v>
      </c>
      <c r="V234" s="68">
        <f t="shared" ref="V234:V245" si="162">IF($C234="875",$D234,)</f>
        <v>0</v>
      </c>
      <c r="W234" s="68">
        <f t="shared" ref="W234:W245" si="163">IF($C234="872",$D234,)</f>
        <v>0</v>
      </c>
      <c r="X234" s="68">
        <f t="shared" ref="X234:X245" si="164">IF($C234="909",$D234,)</f>
        <v>0</v>
      </c>
      <c r="Y234" s="68">
        <f t="shared" si="147"/>
        <v>0</v>
      </c>
      <c r="Z234" s="68"/>
      <c r="AA234" s="68">
        <f t="shared" si="112"/>
        <v>0</v>
      </c>
      <c r="AB234" s="68"/>
      <c r="AC234" s="68"/>
      <c r="AD234" s="4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row>
    <row r="235" spans="1:54">
      <c r="A235" s="70" t="s">
        <v>30</v>
      </c>
      <c r="B235" s="53" t="s">
        <v>407</v>
      </c>
      <c r="C235" s="66" t="s">
        <v>537</v>
      </c>
      <c r="D235" s="67"/>
      <c r="E235" s="47">
        <f t="shared" si="95"/>
        <v>0</v>
      </c>
      <c r="F235" s="68">
        <f t="shared" si="150"/>
        <v>0</v>
      </c>
      <c r="G235" s="68">
        <f t="shared" ref="G235:G299" si="165">H235+I235+J235+K235+L235+M235+N235+O235+P235+Q235+U235+V235+W235+X235</f>
        <v>0</v>
      </c>
      <c r="H235" s="68">
        <f t="shared" si="151"/>
        <v>0</v>
      </c>
      <c r="I235" s="68">
        <f t="shared" si="152"/>
        <v>0</v>
      </c>
      <c r="J235" s="68">
        <f t="shared" si="153"/>
        <v>0</v>
      </c>
      <c r="K235" s="68">
        <f t="shared" si="154"/>
        <v>0</v>
      </c>
      <c r="L235" s="68">
        <f t="shared" si="155"/>
        <v>0</v>
      </c>
      <c r="M235" s="68">
        <f t="shared" si="156"/>
        <v>0</v>
      </c>
      <c r="N235" s="68">
        <f t="shared" si="157"/>
        <v>0</v>
      </c>
      <c r="O235" s="68">
        <f t="shared" si="158"/>
        <v>0</v>
      </c>
      <c r="P235" s="68">
        <f t="shared" si="159"/>
        <v>0</v>
      </c>
      <c r="Q235" s="68">
        <f t="shared" si="160"/>
        <v>0</v>
      </c>
      <c r="R235" s="68"/>
      <c r="S235" s="68"/>
      <c r="T235" s="68">
        <f t="shared" si="129"/>
        <v>0</v>
      </c>
      <c r="U235" s="68">
        <f t="shared" si="161"/>
        <v>0</v>
      </c>
      <c r="V235" s="68">
        <f t="shared" si="162"/>
        <v>0</v>
      </c>
      <c r="W235" s="68">
        <f t="shared" si="163"/>
        <v>0</v>
      </c>
      <c r="X235" s="68">
        <f t="shared" si="164"/>
        <v>0</v>
      </c>
      <c r="Y235" s="68">
        <f t="shared" si="147"/>
        <v>0</v>
      </c>
      <c r="Z235" s="68"/>
      <c r="AA235" s="68">
        <f t="shared" si="112"/>
        <v>0</v>
      </c>
      <c r="AB235" s="68"/>
      <c r="AC235" s="68"/>
      <c r="AD235" s="4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row>
    <row r="236" spans="1:54">
      <c r="A236" s="70" t="s">
        <v>30</v>
      </c>
      <c r="B236" s="53" t="s">
        <v>408</v>
      </c>
      <c r="C236" s="66" t="s">
        <v>537</v>
      </c>
      <c r="D236" s="67"/>
      <c r="E236" s="47">
        <f t="shared" si="95"/>
        <v>0</v>
      </c>
      <c r="F236" s="68">
        <f t="shared" si="150"/>
        <v>0</v>
      </c>
      <c r="G236" s="68">
        <f t="shared" si="165"/>
        <v>0</v>
      </c>
      <c r="H236" s="68">
        <f t="shared" si="151"/>
        <v>0</v>
      </c>
      <c r="I236" s="68">
        <f t="shared" si="152"/>
        <v>0</v>
      </c>
      <c r="J236" s="68">
        <f t="shared" si="153"/>
        <v>0</v>
      </c>
      <c r="K236" s="68">
        <f t="shared" si="154"/>
        <v>0</v>
      </c>
      <c r="L236" s="68">
        <f t="shared" si="155"/>
        <v>0</v>
      </c>
      <c r="M236" s="68">
        <f t="shared" si="156"/>
        <v>0</v>
      </c>
      <c r="N236" s="68">
        <f t="shared" si="157"/>
        <v>0</v>
      </c>
      <c r="O236" s="68">
        <f t="shared" si="158"/>
        <v>0</v>
      </c>
      <c r="P236" s="68">
        <f t="shared" si="159"/>
        <v>0</v>
      </c>
      <c r="Q236" s="68">
        <f t="shared" si="160"/>
        <v>0</v>
      </c>
      <c r="R236" s="68"/>
      <c r="S236" s="68"/>
      <c r="T236" s="68">
        <f t="shared" si="129"/>
        <v>0</v>
      </c>
      <c r="U236" s="68">
        <f t="shared" si="161"/>
        <v>0</v>
      </c>
      <c r="V236" s="68">
        <f t="shared" si="162"/>
        <v>0</v>
      </c>
      <c r="W236" s="68">
        <f t="shared" si="163"/>
        <v>0</v>
      </c>
      <c r="X236" s="68">
        <f t="shared" si="164"/>
        <v>0</v>
      </c>
      <c r="Y236" s="68">
        <f t="shared" si="147"/>
        <v>0</v>
      </c>
      <c r="Z236" s="68"/>
      <c r="AA236" s="68">
        <f t="shared" si="112"/>
        <v>0</v>
      </c>
      <c r="AB236" s="68"/>
      <c r="AC236" s="68"/>
      <c r="AD236" s="4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row>
    <row r="237" spans="1:54">
      <c r="A237" s="70" t="s">
        <v>30</v>
      </c>
      <c r="B237" s="53" t="s">
        <v>409</v>
      </c>
      <c r="C237" s="66" t="s">
        <v>537</v>
      </c>
      <c r="D237" s="67"/>
      <c r="E237" s="47">
        <f t="shared" si="95"/>
        <v>0</v>
      </c>
      <c r="F237" s="68">
        <f t="shared" si="150"/>
        <v>0</v>
      </c>
      <c r="G237" s="68">
        <f t="shared" si="165"/>
        <v>0</v>
      </c>
      <c r="H237" s="68">
        <f t="shared" si="151"/>
        <v>0</v>
      </c>
      <c r="I237" s="68">
        <f t="shared" si="152"/>
        <v>0</v>
      </c>
      <c r="J237" s="68">
        <f t="shared" si="153"/>
        <v>0</v>
      </c>
      <c r="K237" s="68">
        <f t="shared" si="154"/>
        <v>0</v>
      </c>
      <c r="L237" s="68">
        <f t="shared" si="155"/>
        <v>0</v>
      </c>
      <c r="M237" s="68">
        <f t="shared" si="156"/>
        <v>0</v>
      </c>
      <c r="N237" s="68">
        <f t="shared" si="157"/>
        <v>0</v>
      </c>
      <c r="O237" s="68">
        <f t="shared" si="158"/>
        <v>0</v>
      </c>
      <c r="P237" s="68">
        <f t="shared" si="159"/>
        <v>0</v>
      </c>
      <c r="Q237" s="68">
        <f t="shared" si="160"/>
        <v>0</v>
      </c>
      <c r="R237" s="68"/>
      <c r="S237" s="68"/>
      <c r="T237" s="68">
        <f t="shared" si="129"/>
        <v>0</v>
      </c>
      <c r="U237" s="68">
        <f t="shared" si="161"/>
        <v>0</v>
      </c>
      <c r="V237" s="68">
        <f t="shared" si="162"/>
        <v>0</v>
      </c>
      <c r="W237" s="68">
        <f t="shared" si="163"/>
        <v>0</v>
      </c>
      <c r="X237" s="68">
        <f t="shared" si="164"/>
        <v>0</v>
      </c>
      <c r="Y237" s="68">
        <f t="shared" si="147"/>
        <v>0</v>
      </c>
      <c r="Z237" s="68"/>
      <c r="AA237" s="68">
        <f t="shared" si="112"/>
        <v>0</v>
      </c>
      <c r="AB237" s="68"/>
      <c r="AC237" s="68"/>
      <c r="AD237" s="4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row>
    <row r="238" spans="1:54">
      <c r="A238" s="70" t="s">
        <v>30</v>
      </c>
      <c r="B238" s="53" t="s">
        <v>410</v>
      </c>
      <c r="C238" s="66" t="s">
        <v>537</v>
      </c>
      <c r="D238" s="67"/>
      <c r="E238" s="47">
        <f t="shared" si="95"/>
        <v>0</v>
      </c>
      <c r="F238" s="68">
        <f t="shared" si="150"/>
        <v>0</v>
      </c>
      <c r="G238" s="68">
        <f t="shared" si="165"/>
        <v>0</v>
      </c>
      <c r="H238" s="68">
        <f t="shared" si="151"/>
        <v>0</v>
      </c>
      <c r="I238" s="68">
        <f t="shared" si="152"/>
        <v>0</v>
      </c>
      <c r="J238" s="68">
        <f t="shared" si="153"/>
        <v>0</v>
      </c>
      <c r="K238" s="68">
        <f t="shared" si="154"/>
        <v>0</v>
      </c>
      <c r="L238" s="68">
        <f t="shared" si="155"/>
        <v>0</v>
      </c>
      <c r="M238" s="68">
        <f t="shared" si="156"/>
        <v>0</v>
      </c>
      <c r="N238" s="68">
        <f t="shared" si="157"/>
        <v>0</v>
      </c>
      <c r="O238" s="68">
        <f t="shared" si="158"/>
        <v>0</v>
      </c>
      <c r="P238" s="68">
        <f t="shared" si="159"/>
        <v>0</v>
      </c>
      <c r="Q238" s="68">
        <f t="shared" si="160"/>
        <v>0</v>
      </c>
      <c r="R238" s="68"/>
      <c r="S238" s="68"/>
      <c r="T238" s="68">
        <f t="shared" si="129"/>
        <v>0</v>
      </c>
      <c r="U238" s="68">
        <f t="shared" si="161"/>
        <v>0</v>
      </c>
      <c r="V238" s="68">
        <f t="shared" si="162"/>
        <v>0</v>
      </c>
      <c r="W238" s="68">
        <f t="shared" si="163"/>
        <v>0</v>
      </c>
      <c r="X238" s="68">
        <f t="shared" si="164"/>
        <v>0</v>
      </c>
      <c r="Y238" s="68">
        <f t="shared" si="147"/>
        <v>0</v>
      </c>
      <c r="Z238" s="68"/>
      <c r="AA238" s="68">
        <f t="shared" si="112"/>
        <v>0</v>
      </c>
      <c r="AB238" s="68"/>
      <c r="AC238" s="68"/>
      <c r="AD238" s="4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row>
    <row r="239" spans="1:54">
      <c r="A239" s="70" t="s">
        <v>30</v>
      </c>
      <c r="B239" s="53" t="s">
        <v>411</v>
      </c>
      <c r="C239" s="66" t="s">
        <v>537</v>
      </c>
      <c r="D239" s="67"/>
      <c r="E239" s="47">
        <f t="shared" si="95"/>
        <v>0</v>
      </c>
      <c r="F239" s="68">
        <f t="shared" si="150"/>
        <v>0</v>
      </c>
      <c r="G239" s="68">
        <f t="shared" si="165"/>
        <v>0</v>
      </c>
      <c r="H239" s="68">
        <f t="shared" si="151"/>
        <v>0</v>
      </c>
      <c r="I239" s="68">
        <f t="shared" si="152"/>
        <v>0</v>
      </c>
      <c r="J239" s="68">
        <f t="shared" si="153"/>
        <v>0</v>
      </c>
      <c r="K239" s="68">
        <f t="shared" si="154"/>
        <v>0</v>
      </c>
      <c r="L239" s="68">
        <f t="shared" si="155"/>
        <v>0</v>
      </c>
      <c r="M239" s="68">
        <f t="shared" si="156"/>
        <v>0</v>
      </c>
      <c r="N239" s="68">
        <f t="shared" si="157"/>
        <v>0</v>
      </c>
      <c r="O239" s="68">
        <f t="shared" si="158"/>
        <v>0</v>
      </c>
      <c r="P239" s="68">
        <f t="shared" si="159"/>
        <v>0</v>
      </c>
      <c r="Q239" s="68">
        <f t="shared" si="160"/>
        <v>0</v>
      </c>
      <c r="R239" s="68"/>
      <c r="S239" s="68"/>
      <c r="T239" s="68">
        <f t="shared" si="129"/>
        <v>0</v>
      </c>
      <c r="U239" s="68">
        <f t="shared" si="161"/>
        <v>0</v>
      </c>
      <c r="V239" s="68">
        <f t="shared" si="162"/>
        <v>0</v>
      </c>
      <c r="W239" s="68">
        <f t="shared" si="163"/>
        <v>0</v>
      </c>
      <c r="X239" s="68">
        <f t="shared" si="164"/>
        <v>0</v>
      </c>
      <c r="Y239" s="68">
        <f t="shared" si="147"/>
        <v>0</v>
      </c>
      <c r="Z239" s="68"/>
      <c r="AA239" s="68">
        <f t="shared" si="112"/>
        <v>0</v>
      </c>
      <c r="AB239" s="68"/>
      <c r="AC239" s="68"/>
      <c r="AD239" s="4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row>
    <row r="240" spans="1:54">
      <c r="A240" s="70" t="s">
        <v>30</v>
      </c>
      <c r="B240" s="53" t="s">
        <v>412</v>
      </c>
      <c r="C240" s="66" t="s">
        <v>537</v>
      </c>
      <c r="D240" s="67"/>
      <c r="E240" s="47">
        <f t="shared" si="95"/>
        <v>0</v>
      </c>
      <c r="F240" s="68">
        <f t="shared" si="150"/>
        <v>0</v>
      </c>
      <c r="G240" s="68">
        <f t="shared" si="165"/>
        <v>0</v>
      </c>
      <c r="H240" s="68">
        <f t="shared" si="151"/>
        <v>0</v>
      </c>
      <c r="I240" s="68">
        <f t="shared" si="152"/>
        <v>0</v>
      </c>
      <c r="J240" s="68">
        <f t="shared" si="153"/>
        <v>0</v>
      </c>
      <c r="K240" s="68">
        <f t="shared" si="154"/>
        <v>0</v>
      </c>
      <c r="L240" s="68">
        <f t="shared" si="155"/>
        <v>0</v>
      </c>
      <c r="M240" s="68">
        <f t="shared" si="156"/>
        <v>0</v>
      </c>
      <c r="N240" s="68">
        <f t="shared" si="157"/>
        <v>0</v>
      </c>
      <c r="O240" s="68">
        <f t="shared" si="158"/>
        <v>0</v>
      </c>
      <c r="P240" s="68">
        <f t="shared" si="159"/>
        <v>0</v>
      </c>
      <c r="Q240" s="68">
        <f t="shared" si="160"/>
        <v>0</v>
      </c>
      <c r="R240" s="68"/>
      <c r="S240" s="68"/>
      <c r="T240" s="68">
        <f t="shared" si="129"/>
        <v>0</v>
      </c>
      <c r="U240" s="68">
        <f t="shared" si="161"/>
        <v>0</v>
      </c>
      <c r="V240" s="68">
        <f t="shared" si="162"/>
        <v>0</v>
      </c>
      <c r="W240" s="68">
        <f t="shared" si="163"/>
        <v>0</v>
      </c>
      <c r="X240" s="68">
        <f t="shared" si="164"/>
        <v>0</v>
      </c>
      <c r="Y240" s="68">
        <f t="shared" si="147"/>
        <v>0</v>
      </c>
      <c r="Z240" s="68"/>
      <c r="AA240" s="68">
        <f t="shared" si="112"/>
        <v>0</v>
      </c>
      <c r="AB240" s="68"/>
      <c r="AC240" s="68"/>
      <c r="AD240" s="4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row>
    <row r="241" spans="1:54">
      <c r="A241" s="70" t="s">
        <v>30</v>
      </c>
      <c r="B241" s="53" t="s">
        <v>413</v>
      </c>
      <c r="C241" s="66" t="s">
        <v>537</v>
      </c>
      <c r="D241" s="67"/>
      <c r="E241" s="47">
        <f t="shared" si="95"/>
        <v>0</v>
      </c>
      <c r="F241" s="68">
        <f t="shared" si="150"/>
        <v>0</v>
      </c>
      <c r="G241" s="68">
        <f t="shared" si="165"/>
        <v>0</v>
      </c>
      <c r="H241" s="68">
        <f t="shared" si="151"/>
        <v>0</v>
      </c>
      <c r="I241" s="68">
        <f t="shared" si="152"/>
        <v>0</v>
      </c>
      <c r="J241" s="68">
        <f t="shared" si="153"/>
        <v>0</v>
      </c>
      <c r="K241" s="68">
        <f t="shared" si="154"/>
        <v>0</v>
      </c>
      <c r="L241" s="68">
        <f t="shared" si="155"/>
        <v>0</v>
      </c>
      <c r="M241" s="68">
        <f t="shared" si="156"/>
        <v>0</v>
      </c>
      <c r="N241" s="68">
        <f t="shared" si="157"/>
        <v>0</v>
      </c>
      <c r="O241" s="68">
        <f t="shared" si="158"/>
        <v>0</v>
      </c>
      <c r="P241" s="68">
        <f t="shared" si="159"/>
        <v>0</v>
      </c>
      <c r="Q241" s="68">
        <f t="shared" si="160"/>
        <v>0</v>
      </c>
      <c r="R241" s="68"/>
      <c r="S241" s="68"/>
      <c r="T241" s="68">
        <f t="shared" si="129"/>
        <v>0</v>
      </c>
      <c r="U241" s="68">
        <f t="shared" si="161"/>
        <v>0</v>
      </c>
      <c r="V241" s="68">
        <f t="shared" si="162"/>
        <v>0</v>
      </c>
      <c r="W241" s="68">
        <f t="shared" si="163"/>
        <v>0</v>
      </c>
      <c r="X241" s="68">
        <f t="shared" si="164"/>
        <v>0</v>
      </c>
      <c r="Y241" s="68">
        <f t="shared" si="147"/>
        <v>0</v>
      </c>
      <c r="Z241" s="68"/>
      <c r="AA241" s="68">
        <f t="shared" si="112"/>
        <v>0</v>
      </c>
      <c r="AB241" s="68"/>
      <c r="AC241" s="68"/>
      <c r="AD241" s="4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row>
    <row r="242" spans="1:54">
      <c r="A242" s="70" t="s">
        <v>30</v>
      </c>
      <c r="B242" s="53" t="s">
        <v>414</v>
      </c>
      <c r="C242" s="66" t="s">
        <v>537</v>
      </c>
      <c r="D242" s="67"/>
      <c r="E242" s="47">
        <f t="shared" si="95"/>
        <v>0</v>
      </c>
      <c r="F242" s="68">
        <f t="shared" si="150"/>
        <v>0</v>
      </c>
      <c r="G242" s="68">
        <f t="shared" si="165"/>
        <v>0</v>
      </c>
      <c r="H242" s="68">
        <f t="shared" si="151"/>
        <v>0</v>
      </c>
      <c r="I242" s="68">
        <f t="shared" si="152"/>
        <v>0</v>
      </c>
      <c r="J242" s="68">
        <f t="shared" si="153"/>
        <v>0</v>
      </c>
      <c r="K242" s="68">
        <f t="shared" si="154"/>
        <v>0</v>
      </c>
      <c r="L242" s="68">
        <f t="shared" si="155"/>
        <v>0</v>
      </c>
      <c r="M242" s="68">
        <f t="shared" si="156"/>
        <v>0</v>
      </c>
      <c r="N242" s="68">
        <f t="shared" si="157"/>
        <v>0</v>
      </c>
      <c r="O242" s="68">
        <f t="shared" si="158"/>
        <v>0</v>
      </c>
      <c r="P242" s="68">
        <f t="shared" si="159"/>
        <v>0</v>
      </c>
      <c r="Q242" s="68">
        <f t="shared" si="160"/>
        <v>0</v>
      </c>
      <c r="R242" s="68"/>
      <c r="S242" s="68"/>
      <c r="T242" s="68">
        <f t="shared" si="129"/>
        <v>0</v>
      </c>
      <c r="U242" s="68">
        <f t="shared" si="161"/>
        <v>0</v>
      </c>
      <c r="V242" s="68">
        <f t="shared" si="162"/>
        <v>0</v>
      </c>
      <c r="W242" s="68">
        <f t="shared" si="163"/>
        <v>0</v>
      </c>
      <c r="X242" s="68">
        <f t="shared" si="164"/>
        <v>0</v>
      </c>
      <c r="Y242" s="68">
        <f t="shared" si="147"/>
        <v>0</v>
      </c>
      <c r="Z242" s="68"/>
      <c r="AA242" s="68">
        <f t="shared" si="112"/>
        <v>0</v>
      </c>
      <c r="AB242" s="68"/>
      <c r="AC242" s="68"/>
      <c r="AD242" s="4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row>
    <row r="243" spans="1:54">
      <c r="A243" s="70" t="s">
        <v>30</v>
      </c>
      <c r="B243" s="53" t="s">
        <v>415</v>
      </c>
      <c r="C243" s="66" t="s">
        <v>537</v>
      </c>
      <c r="D243" s="67"/>
      <c r="E243" s="47">
        <f t="shared" si="95"/>
        <v>0</v>
      </c>
      <c r="F243" s="68">
        <f t="shared" si="150"/>
        <v>0</v>
      </c>
      <c r="G243" s="68">
        <f t="shared" si="165"/>
        <v>0</v>
      </c>
      <c r="H243" s="68">
        <f t="shared" si="151"/>
        <v>0</v>
      </c>
      <c r="I243" s="68">
        <f t="shared" si="152"/>
        <v>0</v>
      </c>
      <c r="J243" s="68">
        <f t="shared" si="153"/>
        <v>0</v>
      </c>
      <c r="K243" s="68">
        <f t="shared" si="154"/>
        <v>0</v>
      </c>
      <c r="L243" s="68">
        <f t="shared" si="155"/>
        <v>0</v>
      </c>
      <c r="M243" s="68">
        <f t="shared" si="156"/>
        <v>0</v>
      </c>
      <c r="N243" s="68">
        <f t="shared" si="157"/>
        <v>0</v>
      </c>
      <c r="O243" s="68">
        <f t="shared" si="158"/>
        <v>0</v>
      </c>
      <c r="P243" s="68">
        <f t="shared" si="159"/>
        <v>0</v>
      </c>
      <c r="Q243" s="68">
        <f t="shared" si="160"/>
        <v>0</v>
      </c>
      <c r="R243" s="68"/>
      <c r="S243" s="68"/>
      <c r="T243" s="68">
        <f t="shared" si="129"/>
        <v>0</v>
      </c>
      <c r="U243" s="68">
        <f t="shared" si="161"/>
        <v>0</v>
      </c>
      <c r="V243" s="68">
        <f t="shared" si="162"/>
        <v>0</v>
      </c>
      <c r="W243" s="68">
        <f t="shared" si="163"/>
        <v>0</v>
      </c>
      <c r="X243" s="68">
        <f t="shared" si="164"/>
        <v>0</v>
      </c>
      <c r="Y243" s="68">
        <f t="shared" si="147"/>
        <v>0</v>
      </c>
      <c r="Z243" s="68"/>
      <c r="AA243" s="68">
        <f t="shared" si="112"/>
        <v>0</v>
      </c>
      <c r="AB243" s="68"/>
      <c r="AC243" s="68"/>
      <c r="AD243" s="4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row>
    <row r="244" spans="1:54">
      <c r="A244" s="70" t="s">
        <v>30</v>
      </c>
      <c r="B244" s="53" t="s">
        <v>416</v>
      </c>
      <c r="C244" s="66" t="s">
        <v>537</v>
      </c>
      <c r="D244" s="67"/>
      <c r="E244" s="47">
        <f t="shared" si="95"/>
        <v>0</v>
      </c>
      <c r="F244" s="68">
        <f t="shared" si="150"/>
        <v>0</v>
      </c>
      <c r="G244" s="68">
        <f t="shared" si="165"/>
        <v>0</v>
      </c>
      <c r="H244" s="68">
        <f t="shared" si="151"/>
        <v>0</v>
      </c>
      <c r="I244" s="68">
        <f t="shared" si="152"/>
        <v>0</v>
      </c>
      <c r="J244" s="68">
        <f t="shared" si="153"/>
        <v>0</v>
      </c>
      <c r="K244" s="68">
        <f t="shared" si="154"/>
        <v>0</v>
      </c>
      <c r="L244" s="68">
        <f t="shared" si="155"/>
        <v>0</v>
      </c>
      <c r="M244" s="68">
        <f t="shared" si="156"/>
        <v>0</v>
      </c>
      <c r="N244" s="68">
        <f t="shared" si="157"/>
        <v>0</v>
      </c>
      <c r="O244" s="68">
        <f t="shared" si="158"/>
        <v>0</v>
      </c>
      <c r="P244" s="68">
        <f t="shared" si="159"/>
        <v>0</v>
      </c>
      <c r="Q244" s="68">
        <f t="shared" si="160"/>
        <v>0</v>
      </c>
      <c r="R244" s="68"/>
      <c r="S244" s="68"/>
      <c r="T244" s="68">
        <f t="shared" si="129"/>
        <v>0</v>
      </c>
      <c r="U244" s="68">
        <f t="shared" si="161"/>
        <v>0</v>
      </c>
      <c r="V244" s="68">
        <f t="shared" si="162"/>
        <v>0</v>
      </c>
      <c r="W244" s="68">
        <f t="shared" si="163"/>
        <v>0</v>
      </c>
      <c r="X244" s="68">
        <f t="shared" si="164"/>
        <v>0</v>
      </c>
      <c r="Y244" s="68">
        <f t="shared" si="147"/>
        <v>0</v>
      </c>
      <c r="Z244" s="68"/>
      <c r="AA244" s="68">
        <f t="shared" si="112"/>
        <v>0</v>
      </c>
      <c r="AB244" s="68"/>
      <c r="AC244" s="68"/>
      <c r="AD244" s="4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row>
    <row r="245" spans="1:54">
      <c r="A245" s="70" t="s">
        <v>30</v>
      </c>
      <c r="B245" s="53" t="s">
        <v>417</v>
      </c>
      <c r="C245" s="66" t="s">
        <v>537</v>
      </c>
      <c r="D245" s="67"/>
      <c r="E245" s="47">
        <f t="shared" si="95"/>
        <v>0</v>
      </c>
      <c r="F245" s="68">
        <f t="shared" si="150"/>
        <v>0</v>
      </c>
      <c r="G245" s="68">
        <f t="shared" si="165"/>
        <v>0</v>
      </c>
      <c r="H245" s="68">
        <f t="shared" si="151"/>
        <v>0</v>
      </c>
      <c r="I245" s="68">
        <f t="shared" si="152"/>
        <v>0</v>
      </c>
      <c r="J245" s="68">
        <f t="shared" si="153"/>
        <v>0</v>
      </c>
      <c r="K245" s="68">
        <f t="shared" si="154"/>
        <v>0</v>
      </c>
      <c r="L245" s="68">
        <f t="shared" si="155"/>
        <v>0</v>
      </c>
      <c r="M245" s="68">
        <f t="shared" si="156"/>
        <v>0</v>
      </c>
      <c r="N245" s="68">
        <f t="shared" si="157"/>
        <v>0</v>
      </c>
      <c r="O245" s="68">
        <f t="shared" si="158"/>
        <v>0</v>
      </c>
      <c r="P245" s="68">
        <f t="shared" si="159"/>
        <v>0</v>
      </c>
      <c r="Q245" s="68">
        <f t="shared" si="160"/>
        <v>0</v>
      </c>
      <c r="R245" s="68"/>
      <c r="S245" s="68"/>
      <c r="T245" s="68">
        <f t="shared" si="129"/>
        <v>0</v>
      </c>
      <c r="U245" s="68">
        <f t="shared" si="161"/>
        <v>0</v>
      </c>
      <c r="V245" s="68">
        <f t="shared" si="162"/>
        <v>0</v>
      </c>
      <c r="W245" s="68">
        <f t="shared" si="163"/>
        <v>0</v>
      </c>
      <c r="X245" s="68">
        <f t="shared" si="164"/>
        <v>0</v>
      </c>
      <c r="Y245" s="68">
        <f t="shared" si="147"/>
        <v>0</v>
      </c>
      <c r="Z245" s="68"/>
      <c r="AA245" s="68">
        <f t="shared" si="112"/>
        <v>0</v>
      </c>
      <c r="AB245" s="68"/>
      <c r="AC245" s="68"/>
      <c r="AD245" s="4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row>
    <row r="246" spans="1:54" ht="25.5">
      <c r="A246" s="77">
        <v>54</v>
      </c>
      <c r="B246" s="53" t="s">
        <v>418</v>
      </c>
      <c r="C246" s="66"/>
      <c r="D246" s="67"/>
      <c r="E246" s="47">
        <f t="shared" si="95"/>
        <v>0</v>
      </c>
      <c r="F246" s="68">
        <f t="shared" ref="F246" si="166">F247+F248</f>
        <v>0</v>
      </c>
      <c r="G246" s="68">
        <f t="shared" si="165"/>
        <v>0</v>
      </c>
      <c r="H246" s="68">
        <f>H247+H248</f>
        <v>0</v>
      </c>
      <c r="I246" s="68">
        <f t="shared" ref="I246:Q246" si="167">I247+I248</f>
        <v>0</v>
      </c>
      <c r="J246" s="68">
        <f t="shared" si="167"/>
        <v>0</v>
      </c>
      <c r="K246" s="68">
        <f t="shared" si="167"/>
        <v>0</v>
      </c>
      <c r="L246" s="68">
        <f t="shared" si="167"/>
        <v>0</v>
      </c>
      <c r="M246" s="68">
        <f t="shared" si="167"/>
        <v>0</v>
      </c>
      <c r="N246" s="68">
        <f t="shared" si="167"/>
        <v>0</v>
      </c>
      <c r="O246" s="68">
        <f t="shared" si="167"/>
        <v>0</v>
      </c>
      <c r="P246" s="68">
        <f t="shared" si="167"/>
        <v>0</v>
      </c>
      <c r="Q246" s="68">
        <f t="shared" si="167"/>
        <v>0</v>
      </c>
      <c r="R246" s="68"/>
      <c r="S246" s="68"/>
      <c r="T246" s="68">
        <f t="shared" si="129"/>
        <v>0</v>
      </c>
      <c r="U246" s="68">
        <f>U247+U248</f>
        <v>0</v>
      </c>
      <c r="V246" s="68">
        <f>V247+V248</f>
        <v>0</v>
      </c>
      <c r="W246" s="68">
        <f>W247+W248</f>
        <v>0</v>
      </c>
      <c r="X246" s="68">
        <f>X247+X248</f>
        <v>0</v>
      </c>
      <c r="Y246" s="68">
        <f t="shared" si="147"/>
        <v>0</v>
      </c>
      <c r="Z246" s="68"/>
      <c r="AA246" s="68">
        <f t="shared" si="112"/>
        <v>0</v>
      </c>
      <c r="AB246" s="68"/>
      <c r="AC246" s="68"/>
      <c r="AD246" s="4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row>
    <row r="247" spans="1:54">
      <c r="A247" s="70" t="s">
        <v>30</v>
      </c>
      <c r="B247" s="53" t="s">
        <v>419</v>
      </c>
      <c r="C247" s="66" t="s">
        <v>537</v>
      </c>
      <c r="D247" s="67"/>
      <c r="E247" s="47">
        <f t="shared" si="95"/>
        <v>0</v>
      </c>
      <c r="F247" s="68">
        <f>IF($C247="820",$D247,)</f>
        <v>0</v>
      </c>
      <c r="G247" s="68">
        <f t="shared" si="165"/>
        <v>0</v>
      </c>
      <c r="H247" s="68">
        <f>IF($C247="864",$D247,)</f>
        <v>0</v>
      </c>
      <c r="I247" s="68">
        <f>IF($C247="867",$D247,)</f>
        <v>0</v>
      </c>
      <c r="J247" s="68">
        <f>IF($C247="861",$D247,)</f>
        <v>0</v>
      </c>
      <c r="K247" s="68">
        <f>IF($C247="862",$D247,)</f>
        <v>0</v>
      </c>
      <c r="L247" s="68">
        <f>IF($C247="865",$D247,)</f>
        <v>0</v>
      </c>
      <c r="M247" s="68">
        <f>IF($C247="868",$D247,)</f>
        <v>0</v>
      </c>
      <c r="N247" s="68">
        <f>IF($C247="869",$D247,)</f>
        <v>0</v>
      </c>
      <c r="O247" s="68">
        <f>IF($C247="871",$D247,)</f>
        <v>0</v>
      </c>
      <c r="P247" s="68">
        <f>IF($C247="874",$D247,)</f>
        <v>0</v>
      </c>
      <c r="Q247" s="68">
        <f>IF($C247="873",$D247,)</f>
        <v>0</v>
      </c>
      <c r="R247" s="68"/>
      <c r="S247" s="68"/>
      <c r="T247" s="68">
        <f t="shared" si="129"/>
        <v>0</v>
      </c>
      <c r="U247" s="68">
        <f>IF($C247="877",$D247,)</f>
        <v>0</v>
      </c>
      <c r="V247" s="68">
        <f>IF($C247="875",$D247,)</f>
        <v>0</v>
      </c>
      <c r="W247" s="68">
        <f>IF($C247="872",$D247,)</f>
        <v>0</v>
      </c>
      <c r="X247" s="68">
        <f>IF($C247="909",$D247,)</f>
        <v>0</v>
      </c>
      <c r="Y247" s="68">
        <f t="shared" si="147"/>
        <v>0</v>
      </c>
      <c r="Z247" s="68"/>
      <c r="AA247" s="68">
        <f t="shared" si="112"/>
        <v>0</v>
      </c>
      <c r="AB247" s="68"/>
      <c r="AC247" s="68"/>
      <c r="AD247" s="4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row>
    <row r="248" spans="1:54">
      <c r="A248" s="70" t="s">
        <v>30</v>
      </c>
      <c r="B248" s="53" t="s">
        <v>420</v>
      </c>
      <c r="C248" s="66" t="s">
        <v>537</v>
      </c>
      <c r="D248" s="67"/>
      <c r="E248" s="47">
        <f t="shared" si="95"/>
        <v>0</v>
      </c>
      <c r="F248" s="68">
        <f>IF($C248="820",$D248,)</f>
        <v>0</v>
      </c>
      <c r="G248" s="68">
        <f t="shared" si="165"/>
        <v>0</v>
      </c>
      <c r="H248" s="68">
        <f>IF($C248="864",$D248,)</f>
        <v>0</v>
      </c>
      <c r="I248" s="68">
        <f>IF($C248="867",$D248,)</f>
        <v>0</v>
      </c>
      <c r="J248" s="68">
        <f>IF($C248="861",$D248,)</f>
        <v>0</v>
      </c>
      <c r="K248" s="68">
        <f>IF($C248="862",$D248,)</f>
        <v>0</v>
      </c>
      <c r="L248" s="68">
        <f>IF($C248="865",$D248,)</f>
        <v>0</v>
      </c>
      <c r="M248" s="68">
        <f>IF($C248="868",$D248,)</f>
        <v>0</v>
      </c>
      <c r="N248" s="68">
        <f>IF($C248="869",$D248,)</f>
        <v>0</v>
      </c>
      <c r="O248" s="68">
        <f>IF($C248="871",$D248,)</f>
        <v>0</v>
      </c>
      <c r="P248" s="68">
        <f>IF($C248="874",$D248,)</f>
        <v>0</v>
      </c>
      <c r="Q248" s="68">
        <f>IF($C248="873",$D248,)</f>
        <v>0</v>
      </c>
      <c r="R248" s="68"/>
      <c r="S248" s="68"/>
      <c r="T248" s="68">
        <f t="shared" si="129"/>
        <v>0</v>
      </c>
      <c r="U248" s="68">
        <f>IF($C248="877",$D248,)</f>
        <v>0</v>
      </c>
      <c r="V248" s="68">
        <f>IF($C248="875",$D248,)</f>
        <v>0</v>
      </c>
      <c r="W248" s="68">
        <f>IF($C248="872",$D248,)</f>
        <v>0</v>
      </c>
      <c r="X248" s="68">
        <f>IF($C248="909",$D248,)</f>
        <v>0</v>
      </c>
      <c r="Y248" s="68">
        <f t="shared" si="147"/>
        <v>0</v>
      </c>
      <c r="Z248" s="68"/>
      <c r="AA248" s="68">
        <f t="shared" si="112"/>
        <v>0</v>
      </c>
      <c r="AB248" s="68"/>
      <c r="AC248" s="68"/>
      <c r="AD248" s="4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row>
    <row r="249" spans="1:54" ht="25.5">
      <c r="A249" s="70">
        <v>55</v>
      </c>
      <c r="B249" s="53" t="s">
        <v>421</v>
      </c>
      <c r="C249" s="66" t="s">
        <v>549</v>
      </c>
      <c r="D249" s="67"/>
      <c r="E249" s="47">
        <f t="shared" si="95"/>
        <v>0</v>
      </c>
      <c r="F249" s="68">
        <f>IF($C249="820",$D249,)</f>
        <v>0</v>
      </c>
      <c r="G249" s="68">
        <f t="shared" si="165"/>
        <v>0</v>
      </c>
      <c r="H249" s="68">
        <f>IF($C249="864",$D249,)</f>
        <v>0</v>
      </c>
      <c r="I249" s="68">
        <f>IF($C249="867",$D249,)</f>
        <v>0</v>
      </c>
      <c r="J249" s="68">
        <f>IF($C249="861",$D249,)</f>
        <v>0</v>
      </c>
      <c r="K249" s="68">
        <f>IF($C249="862",$D249,)</f>
        <v>0</v>
      </c>
      <c r="L249" s="68">
        <f>IF($C249="865",$D249,)</f>
        <v>0</v>
      </c>
      <c r="M249" s="68">
        <f>IF($C249="868",$D249,)</f>
        <v>0</v>
      </c>
      <c r="N249" s="68">
        <f>IF($C249="869",$D249,)</f>
        <v>0</v>
      </c>
      <c r="O249" s="68">
        <f>IF($C249="871",$D249,)</f>
        <v>0</v>
      </c>
      <c r="P249" s="68">
        <f>IF($C249="874",$D249,)</f>
        <v>0</v>
      </c>
      <c r="Q249" s="68">
        <f>IF($C249="873",$D249,)</f>
        <v>0</v>
      </c>
      <c r="R249" s="68"/>
      <c r="S249" s="68"/>
      <c r="T249" s="68">
        <f t="shared" si="129"/>
        <v>0</v>
      </c>
      <c r="U249" s="68">
        <f>IF($C249="877",$D249,)</f>
        <v>0</v>
      </c>
      <c r="V249" s="68">
        <f>IF($C249="875",$D249,)</f>
        <v>0</v>
      </c>
      <c r="W249" s="68">
        <f>IF($C249="872",$D249,)</f>
        <v>0</v>
      </c>
      <c r="X249" s="68">
        <f>IF($C249="909",$D249,)</f>
        <v>0</v>
      </c>
      <c r="Y249" s="68">
        <f t="shared" si="147"/>
        <v>0</v>
      </c>
      <c r="Z249" s="68"/>
      <c r="AA249" s="68"/>
      <c r="AB249" s="68"/>
      <c r="AC249" s="68"/>
      <c r="AD249" s="4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row>
    <row r="250" spans="1:54" s="82" customFormat="1">
      <c r="A250" s="80" t="s">
        <v>33</v>
      </c>
      <c r="B250" s="60" t="s">
        <v>550</v>
      </c>
      <c r="C250" s="81" t="s">
        <v>537</v>
      </c>
      <c r="D250" s="62"/>
      <c r="E250" s="47">
        <f t="shared" si="95"/>
        <v>0</v>
      </c>
      <c r="F250" s="63">
        <f>IF($C250="820",$D250,)</f>
        <v>0</v>
      </c>
      <c r="G250" s="63">
        <f t="shared" si="165"/>
        <v>0</v>
      </c>
      <c r="H250" s="63">
        <f>IF($C250="864",$D250,)</f>
        <v>0</v>
      </c>
      <c r="I250" s="63">
        <f>IF($C250="867",$D250,)</f>
        <v>0</v>
      </c>
      <c r="J250" s="63">
        <f>IF($C250="861",$D250,)</f>
        <v>0</v>
      </c>
      <c r="K250" s="63">
        <f>IF($C250="862",$D250,)</f>
        <v>0</v>
      </c>
      <c r="L250" s="63">
        <f>IF($C250="865",$D250,)</f>
        <v>0</v>
      </c>
      <c r="M250" s="63">
        <f>IF($C250="868",$D250,)</f>
        <v>0</v>
      </c>
      <c r="N250" s="63">
        <f>IF($C250="869",$D250,)</f>
        <v>0</v>
      </c>
      <c r="O250" s="63">
        <f>IF($C250="871",$D250,)</f>
        <v>0</v>
      </c>
      <c r="P250" s="63">
        <f>IF($C250="874",$D250,)</f>
        <v>0</v>
      </c>
      <c r="Q250" s="63">
        <f>IF($C250="873",$D250,)</f>
        <v>0</v>
      </c>
      <c r="R250" s="63"/>
      <c r="S250" s="63"/>
      <c r="T250" s="63">
        <f t="shared" si="129"/>
        <v>0</v>
      </c>
      <c r="U250" s="63">
        <f>IF($C250="877",$D250,)</f>
        <v>0</v>
      </c>
      <c r="V250" s="63">
        <f>IF($C250="875",$D250,)</f>
        <v>0</v>
      </c>
      <c r="W250" s="63">
        <f>IF($C250="872",$D250,)</f>
        <v>0</v>
      </c>
      <c r="X250" s="63">
        <f>IF($C250="909",$D250,)</f>
        <v>0</v>
      </c>
      <c r="Y250" s="63">
        <f t="shared" si="147"/>
        <v>0</v>
      </c>
      <c r="Z250" s="63"/>
      <c r="AA250" s="63">
        <f t="shared" si="112"/>
        <v>0</v>
      </c>
      <c r="AB250" s="63"/>
      <c r="AC250" s="63"/>
      <c r="AD250" s="48"/>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row>
    <row r="251" spans="1:54" ht="25.5">
      <c r="A251" s="70" t="s">
        <v>422</v>
      </c>
      <c r="B251" s="65" t="s">
        <v>551</v>
      </c>
      <c r="C251" s="66" t="s">
        <v>537</v>
      </c>
      <c r="D251" s="67"/>
      <c r="E251" s="47">
        <f t="shared" si="95"/>
        <v>0</v>
      </c>
      <c r="F251" s="68">
        <f t="shared" ref="F251:F267" si="168">IF($C251="820",$D251,)</f>
        <v>0</v>
      </c>
      <c r="G251" s="68">
        <f t="shared" si="165"/>
        <v>0</v>
      </c>
      <c r="H251" s="68">
        <f t="shared" ref="H251:H267" si="169">IF($C251="864",$D251,)</f>
        <v>0</v>
      </c>
      <c r="I251" s="68">
        <f t="shared" ref="I251:I267" si="170">IF($C251="867",$D251,)</f>
        <v>0</v>
      </c>
      <c r="J251" s="68">
        <f t="shared" ref="J251:J267" si="171">IF($C251="861",$D251,)</f>
        <v>0</v>
      </c>
      <c r="K251" s="68">
        <f t="shared" ref="K251:K267" si="172">IF($C251="862",$D251,)</f>
        <v>0</v>
      </c>
      <c r="L251" s="68">
        <f t="shared" ref="L251:L267" si="173">IF($C251="865",$D251,)</f>
        <v>0</v>
      </c>
      <c r="M251" s="68">
        <f t="shared" ref="M251:M267" si="174">IF($C251="868",$D251,)</f>
        <v>0</v>
      </c>
      <c r="N251" s="68">
        <f t="shared" ref="N251:N267" si="175">IF($C251="869",$D251,)</f>
        <v>0</v>
      </c>
      <c r="O251" s="68">
        <f t="shared" ref="O251:O267" si="176">IF($C251="871",$D251,)</f>
        <v>0</v>
      </c>
      <c r="P251" s="68">
        <f t="shared" ref="P251:P267" si="177">IF($C251="874",$D251,)</f>
        <v>0</v>
      </c>
      <c r="Q251" s="68">
        <f t="shared" ref="Q251:Q267" si="178">IF($C251="873",$D251,)</f>
        <v>0</v>
      </c>
      <c r="R251" s="68"/>
      <c r="S251" s="68"/>
      <c r="T251" s="68">
        <f t="shared" si="129"/>
        <v>0</v>
      </c>
      <c r="U251" s="68">
        <f t="shared" ref="U251:U267" si="179">IF($C251="877",$D251,)</f>
        <v>0</v>
      </c>
      <c r="V251" s="68">
        <f t="shared" ref="V251:V267" si="180">IF($C251="875",$D251,)</f>
        <v>0</v>
      </c>
      <c r="W251" s="68">
        <f t="shared" ref="W251:W267" si="181">IF($C251="872",$D251,)</f>
        <v>0</v>
      </c>
      <c r="X251" s="68">
        <f t="shared" ref="X251:X267" si="182">IF($C251="909",$D251,)</f>
        <v>0</v>
      </c>
      <c r="Y251" s="68">
        <f t="shared" si="147"/>
        <v>0</v>
      </c>
      <c r="Z251" s="68"/>
      <c r="AA251" s="68"/>
      <c r="AB251" s="68"/>
      <c r="AC251" s="68"/>
      <c r="AD251" s="4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row>
    <row r="252" spans="1:54" ht="25.5">
      <c r="A252" s="70" t="s">
        <v>423</v>
      </c>
      <c r="B252" s="65" t="s">
        <v>552</v>
      </c>
      <c r="C252" s="66" t="s">
        <v>537</v>
      </c>
      <c r="D252" s="67"/>
      <c r="E252" s="47">
        <f t="shared" si="95"/>
        <v>0</v>
      </c>
      <c r="F252" s="68">
        <f t="shared" si="168"/>
        <v>0</v>
      </c>
      <c r="G252" s="68">
        <f t="shared" si="165"/>
        <v>0</v>
      </c>
      <c r="H252" s="68">
        <f t="shared" si="169"/>
        <v>0</v>
      </c>
      <c r="I252" s="68">
        <f t="shared" si="170"/>
        <v>0</v>
      </c>
      <c r="J252" s="68">
        <f t="shared" si="171"/>
        <v>0</v>
      </c>
      <c r="K252" s="68">
        <f t="shared" si="172"/>
        <v>0</v>
      </c>
      <c r="L252" s="68">
        <f t="shared" si="173"/>
        <v>0</v>
      </c>
      <c r="M252" s="68">
        <f t="shared" si="174"/>
        <v>0</v>
      </c>
      <c r="N252" s="68">
        <f t="shared" si="175"/>
        <v>0</v>
      </c>
      <c r="O252" s="68">
        <f t="shared" si="176"/>
        <v>0</v>
      </c>
      <c r="P252" s="68">
        <f t="shared" si="177"/>
        <v>0</v>
      </c>
      <c r="Q252" s="68">
        <f t="shared" si="178"/>
        <v>0</v>
      </c>
      <c r="R252" s="68"/>
      <c r="S252" s="68"/>
      <c r="T252" s="68">
        <f t="shared" si="129"/>
        <v>0</v>
      </c>
      <c r="U252" s="68">
        <f t="shared" si="179"/>
        <v>0</v>
      </c>
      <c r="V252" s="68">
        <f t="shared" si="180"/>
        <v>0</v>
      </c>
      <c r="W252" s="68">
        <f t="shared" si="181"/>
        <v>0</v>
      </c>
      <c r="X252" s="68">
        <f t="shared" si="182"/>
        <v>0</v>
      </c>
      <c r="Y252" s="68">
        <f t="shared" si="147"/>
        <v>0</v>
      </c>
      <c r="Z252" s="68"/>
      <c r="AA252" s="68"/>
      <c r="AB252" s="68"/>
      <c r="AC252" s="68"/>
      <c r="AD252" s="4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row>
    <row r="253" spans="1:54" ht="25.5">
      <c r="A253" s="70" t="s">
        <v>424</v>
      </c>
      <c r="B253" s="65" t="s">
        <v>553</v>
      </c>
      <c r="C253" s="66" t="s">
        <v>537</v>
      </c>
      <c r="D253" s="67"/>
      <c r="E253" s="47">
        <f t="shared" si="95"/>
        <v>0</v>
      </c>
      <c r="F253" s="68">
        <f t="shared" si="168"/>
        <v>0</v>
      </c>
      <c r="G253" s="68">
        <f t="shared" si="165"/>
        <v>0</v>
      </c>
      <c r="H253" s="68">
        <f t="shared" si="169"/>
        <v>0</v>
      </c>
      <c r="I253" s="68">
        <f t="shared" si="170"/>
        <v>0</v>
      </c>
      <c r="J253" s="68">
        <f t="shared" si="171"/>
        <v>0</v>
      </c>
      <c r="K253" s="68">
        <f t="shared" si="172"/>
        <v>0</v>
      </c>
      <c r="L253" s="68">
        <f t="shared" si="173"/>
        <v>0</v>
      </c>
      <c r="M253" s="68">
        <f t="shared" si="174"/>
        <v>0</v>
      </c>
      <c r="N253" s="68">
        <f t="shared" si="175"/>
        <v>0</v>
      </c>
      <c r="O253" s="68">
        <f t="shared" si="176"/>
        <v>0</v>
      </c>
      <c r="P253" s="68">
        <f t="shared" si="177"/>
        <v>0</v>
      </c>
      <c r="Q253" s="68">
        <f t="shared" si="178"/>
        <v>0</v>
      </c>
      <c r="R253" s="68"/>
      <c r="S253" s="68"/>
      <c r="T253" s="68">
        <f t="shared" si="129"/>
        <v>0</v>
      </c>
      <c r="U253" s="68">
        <f t="shared" si="179"/>
        <v>0</v>
      </c>
      <c r="V253" s="68">
        <f t="shared" si="180"/>
        <v>0</v>
      </c>
      <c r="W253" s="68">
        <f t="shared" si="181"/>
        <v>0</v>
      </c>
      <c r="X253" s="68">
        <f t="shared" si="182"/>
        <v>0</v>
      </c>
      <c r="Y253" s="68">
        <f t="shared" si="147"/>
        <v>0</v>
      </c>
      <c r="Z253" s="68"/>
      <c r="AA253" s="68"/>
      <c r="AB253" s="68"/>
      <c r="AC253" s="68"/>
      <c r="AD253" s="4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row>
    <row r="254" spans="1:54">
      <c r="A254" s="70" t="s">
        <v>425</v>
      </c>
      <c r="B254" s="65" t="s">
        <v>554</v>
      </c>
      <c r="C254" s="66" t="s">
        <v>537</v>
      </c>
      <c r="D254" s="67"/>
      <c r="E254" s="47">
        <f t="shared" si="95"/>
        <v>0</v>
      </c>
      <c r="F254" s="68">
        <f t="shared" si="168"/>
        <v>0</v>
      </c>
      <c r="G254" s="68">
        <f t="shared" si="165"/>
        <v>0</v>
      </c>
      <c r="H254" s="68">
        <f t="shared" si="169"/>
        <v>0</v>
      </c>
      <c r="I254" s="68">
        <f t="shared" si="170"/>
        <v>0</v>
      </c>
      <c r="J254" s="68">
        <f t="shared" si="171"/>
        <v>0</v>
      </c>
      <c r="K254" s="68">
        <f t="shared" si="172"/>
        <v>0</v>
      </c>
      <c r="L254" s="68">
        <f t="shared" si="173"/>
        <v>0</v>
      </c>
      <c r="M254" s="68">
        <f t="shared" si="174"/>
        <v>0</v>
      </c>
      <c r="N254" s="68">
        <f t="shared" si="175"/>
        <v>0</v>
      </c>
      <c r="O254" s="68">
        <f t="shared" si="176"/>
        <v>0</v>
      </c>
      <c r="P254" s="68">
        <f t="shared" si="177"/>
        <v>0</v>
      </c>
      <c r="Q254" s="68">
        <f t="shared" si="178"/>
        <v>0</v>
      </c>
      <c r="R254" s="68"/>
      <c r="S254" s="68"/>
      <c r="T254" s="68">
        <f t="shared" si="129"/>
        <v>0</v>
      </c>
      <c r="U254" s="68">
        <f t="shared" si="179"/>
        <v>0</v>
      </c>
      <c r="V254" s="68">
        <f t="shared" si="180"/>
        <v>0</v>
      </c>
      <c r="W254" s="68">
        <f t="shared" si="181"/>
        <v>0</v>
      </c>
      <c r="X254" s="68">
        <f t="shared" si="182"/>
        <v>0</v>
      </c>
      <c r="Y254" s="68">
        <f t="shared" si="147"/>
        <v>0</v>
      </c>
      <c r="Z254" s="68"/>
      <c r="AA254" s="68"/>
      <c r="AB254" s="68"/>
      <c r="AC254" s="68"/>
      <c r="AD254" s="4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row>
    <row r="255" spans="1:54">
      <c r="A255" s="70" t="s">
        <v>426</v>
      </c>
      <c r="B255" s="65" t="s">
        <v>555</v>
      </c>
      <c r="C255" s="66" t="s">
        <v>537</v>
      </c>
      <c r="D255" s="67"/>
      <c r="E255" s="47">
        <f t="shared" si="95"/>
        <v>0</v>
      </c>
      <c r="F255" s="68">
        <f t="shared" si="168"/>
        <v>0</v>
      </c>
      <c r="G255" s="68">
        <f t="shared" si="165"/>
        <v>0</v>
      </c>
      <c r="H255" s="68">
        <f t="shared" si="169"/>
        <v>0</v>
      </c>
      <c r="I255" s="68">
        <f t="shared" si="170"/>
        <v>0</v>
      </c>
      <c r="J255" s="68">
        <f t="shared" si="171"/>
        <v>0</v>
      </c>
      <c r="K255" s="68">
        <f t="shared" si="172"/>
        <v>0</v>
      </c>
      <c r="L255" s="68">
        <f t="shared" si="173"/>
        <v>0</v>
      </c>
      <c r="M255" s="68">
        <f t="shared" si="174"/>
        <v>0</v>
      </c>
      <c r="N255" s="68">
        <f t="shared" si="175"/>
        <v>0</v>
      </c>
      <c r="O255" s="68">
        <f t="shared" si="176"/>
        <v>0</v>
      </c>
      <c r="P255" s="68">
        <f t="shared" si="177"/>
        <v>0</v>
      </c>
      <c r="Q255" s="68">
        <f t="shared" si="178"/>
        <v>0</v>
      </c>
      <c r="R255" s="68"/>
      <c r="S255" s="68"/>
      <c r="T255" s="68">
        <f t="shared" si="129"/>
        <v>0</v>
      </c>
      <c r="U255" s="68">
        <f t="shared" si="179"/>
        <v>0</v>
      </c>
      <c r="V255" s="68">
        <f t="shared" si="180"/>
        <v>0</v>
      </c>
      <c r="W255" s="68">
        <f t="shared" si="181"/>
        <v>0</v>
      </c>
      <c r="X255" s="68">
        <f t="shared" si="182"/>
        <v>0</v>
      </c>
      <c r="Y255" s="68">
        <f t="shared" si="147"/>
        <v>0</v>
      </c>
      <c r="Z255" s="68"/>
      <c r="AA255" s="68"/>
      <c r="AB255" s="68"/>
      <c r="AC255" s="68"/>
      <c r="AD255" s="4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row>
    <row r="256" spans="1:54">
      <c r="A256" s="70" t="s">
        <v>427</v>
      </c>
      <c r="B256" s="65" t="s">
        <v>302</v>
      </c>
      <c r="C256" s="66" t="s">
        <v>537</v>
      </c>
      <c r="D256" s="67"/>
      <c r="E256" s="47">
        <f t="shared" si="95"/>
        <v>0</v>
      </c>
      <c r="F256" s="68">
        <f t="shared" si="168"/>
        <v>0</v>
      </c>
      <c r="G256" s="68">
        <f t="shared" si="165"/>
        <v>0</v>
      </c>
      <c r="H256" s="68">
        <f t="shared" si="169"/>
        <v>0</v>
      </c>
      <c r="I256" s="68">
        <f t="shared" si="170"/>
        <v>0</v>
      </c>
      <c r="J256" s="68">
        <f t="shared" si="171"/>
        <v>0</v>
      </c>
      <c r="K256" s="68">
        <f t="shared" si="172"/>
        <v>0</v>
      </c>
      <c r="L256" s="68">
        <f t="shared" si="173"/>
        <v>0</v>
      </c>
      <c r="M256" s="68">
        <f t="shared" si="174"/>
        <v>0</v>
      </c>
      <c r="N256" s="68">
        <f t="shared" si="175"/>
        <v>0</v>
      </c>
      <c r="O256" s="68">
        <f t="shared" si="176"/>
        <v>0</v>
      </c>
      <c r="P256" s="68">
        <f t="shared" si="177"/>
        <v>0</v>
      </c>
      <c r="Q256" s="68">
        <f t="shared" si="178"/>
        <v>0</v>
      </c>
      <c r="R256" s="68"/>
      <c r="S256" s="68"/>
      <c r="T256" s="68">
        <f t="shared" si="129"/>
        <v>0</v>
      </c>
      <c r="U256" s="68">
        <f t="shared" si="179"/>
        <v>0</v>
      </c>
      <c r="V256" s="68">
        <f t="shared" si="180"/>
        <v>0</v>
      </c>
      <c r="W256" s="68">
        <f t="shared" si="181"/>
        <v>0</v>
      </c>
      <c r="X256" s="68">
        <f t="shared" si="182"/>
        <v>0</v>
      </c>
      <c r="Y256" s="68">
        <f t="shared" si="147"/>
        <v>0</v>
      </c>
      <c r="Z256" s="68"/>
      <c r="AA256" s="68"/>
      <c r="AB256" s="68"/>
      <c r="AC256" s="68"/>
      <c r="AD256" s="4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row>
    <row r="257" spans="1:54" ht="25.5">
      <c r="A257" s="70" t="s">
        <v>428</v>
      </c>
      <c r="B257" s="65" t="s">
        <v>556</v>
      </c>
      <c r="C257" s="66" t="s">
        <v>537</v>
      </c>
      <c r="D257" s="67"/>
      <c r="E257" s="47">
        <f t="shared" si="95"/>
        <v>0</v>
      </c>
      <c r="F257" s="68">
        <f t="shared" si="168"/>
        <v>0</v>
      </c>
      <c r="G257" s="68">
        <f t="shared" si="165"/>
        <v>0</v>
      </c>
      <c r="H257" s="68">
        <f t="shared" si="169"/>
        <v>0</v>
      </c>
      <c r="I257" s="68">
        <f t="shared" si="170"/>
        <v>0</v>
      </c>
      <c r="J257" s="68">
        <f t="shared" si="171"/>
        <v>0</v>
      </c>
      <c r="K257" s="68">
        <f t="shared" si="172"/>
        <v>0</v>
      </c>
      <c r="L257" s="68">
        <f t="shared" si="173"/>
        <v>0</v>
      </c>
      <c r="M257" s="68">
        <f t="shared" si="174"/>
        <v>0</v>
      </c>
      <c r="N257" s="68">
        <f t="shared" si="175"/>
        <v>0</v>
      </c>
      <c r="O257" s="68">
        <f t="shared" si="176"/>
        <v>0</v>
      </c>
      <c r="P257" s="68">
        <f t="shared" si="177"/>
        <v>0</v>
      </c>
      <c r="Q257" s="68">
        <f t="shared" si="178"/>
        <v>0</v>
      </c>
      <c r="R257" s="68"/>
      <c r="S257" s="68"/>
      <c r="T257" s="68">
        <f t="shared" si="129"/>
        <v>0</v>
      </c>
      <c r="U257" s="68">
        <f t="shared" si="179"/>
        <v>0</v>
      </c>
      <c r="V257" s="68">
        <f t="shared" si="180"/>
        <v>0</v>
      </c>
      <c r="W257" s="68">
        <f t="shared" si="181"/>
        <v>0</v>
      </c>
      <c r="X257" s="68">
        <f t="shared" si="182"/>
        <v>0</v>
      </c>
      <c r="Y257" s="68">
        <f t="shared" si="147"/>
        <v>0</v>
      </c>
      <c r="Z257" s="68"/>
      <c r="AA257" s="68"/>
      <c r="AB257" s="68"/>
      <c r="AC257" s="68"/>
      <c r="AD257" s="4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row>
    <row r="258" spans="1:54" ht="25.5">
      <c r="A258" s="70" t="s">
        <v>434</v>
      </c>
      <c r="B258" s="65" t="s">
        <v>557</v>
      </c>
      <c r="C258" s="66" t="s">
        <v>537</v>
      </c>
      <c r="D258" s="67"/>
      <c r="E258" s="47">
        <f t="shared" si="95"/>
        <v>0</v>
      </c>
      <c r="F258" s="68">
        <f t="shared" si="168"/>
        <v>0</v>
      </c>
      <c r="G258" s="68">
        <f t="shared" si="165"/>
        <v>0</v>
      </c>
      <c r="H258" s="68">
        <f t="shared" si="169"/>
        <v>0</v>
      </c>
      <c r="I258" s="68">
        <f t="shared" si="170"/>
        <v>0</v>
      </c>
      <c r="J258" s="68">
        <f t="shared" si="171"/>
        <v>0</v>
      </c>
      <c r="K258" s="68">
        <f t="shared" si="172"/>
        <v>0</v>
      </c>
      <c r="L258" s="68">
        <f t="shared" si="173"/>
        <v>0</v>
      </c>
      <c r="M258" s="68">
        <f t="shared" si="174"/>
        <v>0</v>
      </c>
      <c r="N258" s="68">
        <f t="shared" si="175"/>
        <v>0</v>
      </c>
      <c r="O258" s="68">
        <f t="shared" si="176"/>
        <v>0</v>
      </c>
      <c r="P258" s="68">
        <f t="shared" si="177"/>
        <v>0</v>
      </c>
      <c r="Q258" s="68">
        <f t="shared" si="178"/>
        <v>0</v>
      </c>
      <c r="R258" s="68"/>
      <c r="S258" s="68"/>
      <c r="T258" s="68">
        <f t="shared" si="129"/>
        <v>0</v>
      </c>
      <c r="U258" s="68">
        <f t="shared" si="179"/>
        <v>0</v>
      </c>
      <c r="V258" s="68">
        <f t="shared" si="180"/>
        <v>0</v>
      </c>
      <c r="W258" s="68">
        <f t="shared" si="181"/>
        <v>0</v>
      </c>
      <c r="X258" s="68">
        <f t="shared" si="182"/>
        <v>0</v>
      </c>
      <c r="Y258" s="68">
        <f t="shared" si="147"/>
        <v>0</v>
      </c>
      <c r="Z258" s="68"/>
      <c r="AA258" s="68"/>
      <c r="AB258" s="68"/>
      <c r="AC258" s="68"/>
      <c r="AD258" s="4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row>
    <row r="259" spans="1:54">
      <c r="A259" s="70" t="s">
        <v>438</v>
      </c>
      <c r="B259" s="65" t="s">
        <v>558</v>
      </c>
      <c r="C259" s="66" t="s">
        <v>537</v>
      </c>
      <c r="D259" s="67"/>
      <c r="E259" s="47">
        <f t="shared" si="95"/>
        <v>0</v>
      </c>
      <c r="F259" s="68">
        <f t="shared" si="168"/>
        <v>0</v>
      </c>
      <c r="G259" s="68">
        <f t="shared" si="165"/>
        <v>0</v>
      </c>
      <c r="H259" s="68">
        <f t="shared" si="169"/>
        <v>0</v>
      </c>
      <c r="I259" s="68">
        <f t="shared" si="170"/>
        <v>0</v>
      </c>
      <c r="J259" s="68">
        <f t="shared" si="171"/>
        <v>0</v>
      </c>
      <c r="K259" s="68">
        <f t="shared" si="172"/>
        <v>0</v>
      </c>
      <c r="L259" s="68">
        <f t="shared" si="173"/>
        <v>0</v>
      </c>
      <c r="M259" s="68">
        <f t="shared" si="174"/>
        <v>0</v>
      </c>
      <c r="N259" s="68">
        <f t="shared" si="175"/>
        <v>0</v>
      </c>
      <c r="O259" s="68">
        <f t="shared" si="176"/>
        <v>0</v>
      </c>
      <c r="P259" s="68">
        <f t="shared" si="177"/>
        <v>0</v>
      </c>
      <c r="Q259" s="68">
        <f t="shared" si="178"/>
        <v>0</v>
      </c>
      <c r="R259" s="68"/>
      <c r="S259" s="68"/>
      <c r="T259" s="68">
        <f t="shared" si="129"/>
        <v>0</v>
      </c>
      <c r="U259" s="68">
        <f t="shared" si="179"/>
        <v>0</v>
      </c>
      <c r="V259" s="68">
        <f t="shared" si="180"/>
        <v>0</v>
      </c>
      <c r="W259" s="68">
        <f t="shared" si="181"/>
        <v>0</v>
      </c>
      <c r="X259" s="68">
        <f t="shared" si="182"/>
        <v>0</v>
      </c>
      <c r="Y259" s="68">
        <f t="shared" si="147"/>
        <v>0</v>
      </c>
      <c r="Z259" s="68"/>
      <c r="AA259" s="68"/>
      <c r="AB259" s="68"/>
      <c r="AC259" s="68"/>
      <c r="AD259" s="4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row>
    <row r="260" spans="1:54">
      <c r="A260" s="70" t="s">
        <v>442</v>
      </c>
      <c r="B260" s="65" t="s">
        <v>559</v>
      </c>
      <c r="C260" s="66" t="s">
        <v>537</v>
      </c>
      <c r="D260" s="67"/>
      <c r="E260" s="47">
        <f t="shared" si="95"/>
        <v>0</v>
      </c>
      <c r="F260" s="68">
        <f t="shared" si="168"/>
        <v>0</v>
      </c>
      <c r="G260" s="68">
        <f t="shared" si="165"/>
        <v>0</v>
      </c>
      <c r="H260" s="68">
        <f t="shared" si="169"/>
        <v>0</v>
      </c>
      <c r="I260" s="68">
        <f t="shared" si="170"/>
        <v>0</v>
      </c>
      <c r="J260" s="68">
        <f t="shared" si="171"/>
        <v>0</v>
      </c>
      <c r="K260" s="68">
        <f t="shared" si="172"/>
        <v>0</v>
      </c>
      <c r="L260" s="68">
        <f t="shared" si="173"/>
        <v>0</v>
      </c>
      <c r="M260" s="68">
        <f t="shared" si="174"/>
        <v>0</v>
      </c>
      <c r="N260" s="68">
        <f t="shared" si="175"/>
        <v>0</v>
      </c>
      <c r="O260" s="68">
        <f t="shared" si="176"/>
        <v>0</v>
      </c>
      <c r="P260" s="68">
        <f t="shared" si="177"/>
        <v>0</v>
      </c>
      <c r="Q260" s="68">
        <f t="shared" si="178"/>
        <v>0</v>
      </c>
      <c r="R260" s="68"/>
      <c r="S260" s="68"/>
      <c r="T260" s="68">
        <f t="shared" si="129"/>
        <v>0</v>
      </c>
      <c r="U260" s="68">
        <f t="shared" si="179"/>
        <v>0</v>
      </c>
      <c r="V260" s="68">
        <f t="shared" si="180"/>
        <v>0</v>
      </c>
      <c r="W260" s="68">
        <f t="shared" si="181"/>
        <v>0</v>
      </c>
      <c r="X260" s="68">
        <f t="shared" si="182"/>
        <v>0</v>
      </c>
      <c r="Y260" s="68">
        <f t="shared" si="147"/>
        <v>0</v>
      </c>
      <c r="Z260" s="68"/>
      <c r="AA260" s="68"/>
      <c r="AB260" s="68"/>
      <c r="AC260" s="68"/>
      <c r="AD260" s="4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8"/>
      <c r="BA260" s="68"/>
      <c r="BB260" s="68"/>
    </row>
    <row r="261" spans="1:54">
      <c r="A261" s="70" t="s">
        <v>443</v>
      </c>
      <c r="B261" s="65" t="s">
        <v>560</v>
      </c>
      <c r="C261" s="66" t="s">
        <v>537</v>
      </c>
      <c r="D261" s="67"/>
      <c r="E261" s="47">
        <f t="shared" si="95"/>
        <v>0</v>
      </c>
      <c r="F261" s="68">
        <f t="shared" si="168"/>
        <v>0</v>
      </c>
      <c r="G261" s="68">
        <f t="shared" si="165"/>
        <v>0</v>
      </c>
      <c r="H261" s="68">
        <f t="shared" si="169"/>
        <v>0</v>
      </c>
      <c r="I261" s="68">
        <f t="shared" si="170"/>
        <v>0</v>
      </c>
      <c r="J261" s="68">
        <f t="shared" si="171"/>
        <v>0</v>
      </c>
      <c r="K261" s="68">
        <f t="shared" si="172"/>
        <v>0</v>
      </c>
      <c r="L261" s="68">
        <f t="shared" si="173"/>
        <v>0</v>
      </c>
      <c r="M261" s="68">
        <f t="shared" si="174"/>
        <v>0</v>
      </c>
      <c r="N261" s="68">
        <f t="shared" si="175"/>
        <v>0</v>
      </c>
      <c r="O261" s="68">
        <f t="shared" si="176"/>
        <v>0</v>
      </c>
      <c r="P261" s="68">
        <f t="shared" si="177"/>
        <v>0</v>
      </c>
      <c r="Q261" s="68">
        <f t="shared" si="178"/>
        <v>0</v>
      </c>
      <c r="R261" s="68"/>
      <c r="S261" s="68"/>
      <c r="T261" s="68">
        <f t="shared" si="129"/>
        <v>0</v>
      </c>
      <c r="U261" s="68">
        <f t="shared" si="179"/>
        <v>0</v>
      </c>
      <c r="V261" s="68">
        <f t="shared" si="180"/>
        <v>0</v>
      </c>
      <c r="W261" s="68">
        <f t="shared" si="181"/>
        <v>0</v>
      </c>
      <c r="X261" s="68">
        <f t="shared" si="182"/>
        <v>0</v>
      </c>
      <c r="Y261" s="68">
        <f t="shared" si="147"/>
        <v>0</v>
      </c>
      <c r="Z261" s="68"/>
      <c r="AA261" s="68"/>
      <c r="AB261" s="68"/>
      <c r="AC261" s="68"/>
      <c r="AD261" s="4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row>
    <row r="262" spans="1:54">
      <c r="A262" s="70" t="s">
        <v>444</v>
      </c>
      <c r="B262" s="65" t="s">
        <v>561</v>
      </c>
      <c r="C262" s="66" t="s">
        <v>537</v>
      </c>
      <c r="D262" s="67"/>
      <c r="E262" s="47">
        <f t="shared" si="95"/>
        <v>0</v>
      </c>
      <c r="F262" s="68">
        <f t="shared" si="168"/>
        <v>0</v>
      </c>
      <c r="G262" s="68">
        <f t="shared" si="165"/>
        <v>0</v>
      </c>
      <c r="H262" s="68">
        <f t="shared" si="169"/>
        <v>0</v>
      </c>
      <c r="I262" s="68">
        <f t="shared" si="170"/>
        <v>0</v>
      </c>
      <c r="J262" s="68">
        <f t="shared" si="171"/>
        <v>0</v>
      </c>
      <c r="K262" s="68">
        <f t="shared" si="172"/>
        <v>0</v>
      </c>
      <c r="L262" s="68">
        <f t="shared" si="173"/>
        <v>0</v>
      </c>
      <c r="M262" s="68">
        <f t="shared" si="174"/>
        <v>0</v>
      </c>
      <c r="N262" s="68">
        <f t="shared" si="175"/>
        <v>0</v>
      </c>
      <c r="O262" s="68">
        <f t="shared" si="176"/>
        <v>0</v>
      </c>
      <c r="P262" s="68">
        <f t="shared" si="177"/>
        <v>0</v>
      </c>
      <c r="Q262" s="68">
        <f t="shared" si="178"/>
        <v>0</v>
      </c>
      <c r="R262" s="68"/>
      <c r="S262" s="68"/>
      <c r="T262" s="68">
        <f t="shared" si="129"/>
        <v>0</v>
      </c>
      <c r="U262" s="68">
        <f t="shared" si="179"/>
        <v>0</v>
      </c>
      <c r="V262" s="68">
        <f t="shared" si="180"/>
        <v>0</v>
      </c>
      <c r="W262" s="68">
        <f t="shared" si="181"/>
        <v>0</v>
      </c>
      <c r="X262" s="68">
        <f t="shared" si="182"/>
        <v>0</v>
      </c>
      <c r="Y262" s="68">
        <f t="shared" si="147"/>
        <v>0</v>
      </c>
      <c r="Z262" s="68"/>
      <c r="AA262" s="68"/>
      <c r="AB262" s="68"/>
      <c r="AC262" s="68"/>
      <c r="AD262" s="4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row>
    <row r="263" spans="1:54">
      <c r="A263" s="70" t="s">
        <v>445</v>
      </c>
      <c r="B263" s="65" t="s">
        <v>562</v>
      </c>
      <c r="C263" s="66" t="s">
        <v>537</v>
      </c>
      <c r="D263" s="67"/>
      <c r="E263" s="47">
        <f t="shared" si="95"/>
        <v>0</v>
      </c>
      <c r="F263" s="68">
        <f t="shared" si="168"/>
        <v>0</v>
      </c>
      <c r="G263" s="68">
        <f t="shared" si="165"/>
        <v>0</v>
      </c>
      <c r="H263" s="68">
        <f t="shared" si="169"/>
        <v>0</v>
      </c>
      <c r="I263" s="68">
        <f t="shared" si="170"/>
        <v>0</v>
      </c>
      <c r="J263" s="68">
        <f t="shared" si="171"/>
        <v>0</v>
      </c>
      <c r="K263" s="68">
        <f t="shared" si="172"/>
        <v>0</v>
      </c>
      <c r="L263" s="68">
        <f t="shared" si="173"/>
        <v>0</v>
      </c>
      <c r="M263" s="68">
        <f t="shared" si="174"/>
        <v>0</v>
      </c>
      <c r="N263" s="68">
        <f t="shared" si="175"/>
        <v>0</v>
      </c>
      <c r="O263" s="68">
        <f t="shared" si="176"/>
        <v>0</v>
      </c>
      <c r="P263" s="68">
        <f t="shared" si="177"/>
        <v>0</v>
      </c>
      <c r="Q263" s="68">
        <f t="shared" si="178"/>
        <v>0</v>
      </c>
      <c r="R263" s="68"/>
      <c r="S263" s="68"/>
      <c r="T263" s="68">
        <f t="shared" si="129"/>
        <v>0</v>
      </c>
      <c r="U263" s="68">
        <f t="shared" si="179"/>
        <v>0</v>
      </c>
      <c r="V263" s="68">
        <f t="shared" si="180"/>
        <v>0</v>
      </c>
      <c r="W263" s="68">
        <f t="shared" si="181"/>
        <v>0</v>
      </c>
      <c r="X263" s="68">
        <f t="shared" si="182"/>
        <v>0</v>
      </c>
      <c r="Y263" s="68">
        <f t="shared" si="147"/>
        <v>0</v>
      </c>
      <c r="Z263" s="68"/>
      <c r="AA263" s="68"/>
      <c r="AB263" s="68"/>
      <c r="AC263" s="68"/>
      <c r="AD263" s="48"/>
      <c r="AE263" s="68"/>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68"/>
      <c r="BB263" s="68"/>
    </row>
    <row r="264" spans="1:54">
      <c r="A264" s="70" t="s">
        <v>446</v>
      </c>
      <c r="B264" s="65" t="s">
        <v>563</v>
      </c>
      <c r="C264" s="66" t="s">
        <v>537</v>
      </c>
      <c r="D264" s="67"/>
      <c r="E264" s="47">
        <f t="shared" si="95"/>
        <v>0</v>
      </c>
      <c r="F264" s="68">
        <f t="shared" si="168"/>
        <v>0</v>
      </c>
      <c r="G264" s="68">
        <f t="shared" si="165"/>
        <v>0</v>
      </c>
      <c r="H264" s="68">
        <f t="shared" si="169"/>
        <v>0</v>
      </c>
      <c r="I264" s="68">
        <f t="shared" si="170"/>
        <v>0</v>
      </c>
      <c r="J264" s="68">
        <f t="shared" si="171"/>
        <v>0</v>
      </c>
      <c r="K264" s="68">
        <f t="shared" si="172"/>
        <v>0</v>
      </c>
      <c r="L264" s="68">
        <f t="shared" si="173"/>
        <v>0</v>
      </c>
      <c r="M264" s="68">
        <f t="shared" si="174"/>
        <v>0</v>
      </c>
      <c r="N264" s="68">
        <f t="shared" si="175"/>
        <v>0</v>
      </c>
      <c r="O264" s="68">
        <f t="shared" si="176"/>
        <v>0</v>
      </c>
      <c r="P264" s="68">
        <f t="shared" si="177"/>
        <v>0</v>
      </c>
      <c r="Q264" s="68">
        <f t="shared" si="178"/>
        <v>0</v>
      </c>
      <c r="R264" s="68"/>
      <c r="S264" s="68"/>
      <c r="T264" s="68">
        <f t="shared" si="129"/>
        <v>0</v>
      </c>
      <c r="U264" s="68">
        <f t="shared" si="179"/>
        <v>0</v>
      </c>
      <c r="V264" s="68">
        <f t="shared" si="180"/>
        <v>0</v>
      </c>
      <c r="W264" s="68">
        <f t="shared" si="181"/>
        <v>0</v>
      </c>
      <c r="X264" s="68">
        <f t="shared" si="182"/>
        <v>0</v>
      </c>
      <c r="Y264" s="68">
        <f t="shared" si="147"/>
        <v>0</v>
      </c>
      <c r="Z264" s="68"/>
      <c r="AA264" s="68"/>
      <c r="AB264" s="68"/>
      <c r="AC264" s="68"/>
      <c r="AD264" s="4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row>
    <row r="265" spans="1:54">
      <c r="A265" s="70" t="s">
        <v>447</v>
      </c>
      <c r="B265" s="65" t="s">
        <v>564</v>
      </c>
      <c r="C265" s="66" t="s">
        <v>537</v>
      </c>
      <c r="D265" s="67"/>
      <c r="E265" s="47">
        <f t="shared" si="95"/>
        <v>0</v>
      </c>
      <c r="F265" s="68">
        <f t="shared" si="168"/>
        <v>0</v>
      </c>
      <c r="G265" s="68">
        <f t="shared" si="165"/>
        <v>0</v>
      </c>
      <c r="H265" s="68">
        <f t="shared" si="169"/>
        <v>0</v>
      </c>
      <c r="I265" s="68">
        <f t="shared" si="170"/>
        <v>0</v>
      </c>
      <c r="J265" s="68">
        <f t="shared" si="171"/>
        <v>0</v>
      </c>
      <c r="K265" s="68">
        <f t="shared" si="172"/>
        <v>0</v>
      </c>
      <c r="L265" s="68">
        <f t="shared" si="173"/>
        <v>0</v>
      </c>
      <c r="M265" s="68">
        <f t="shared" si="174"/>
        <v>0</v>
      </c>
      <c r="N265" s="68">
        <f t="shared" si="175"/>
        <v>0</v>
      </c>
      <c r="O265" s="68">
        <f t="shared" si="176"/>
        <v>0</v>
      </c>
      <c r="P265" s="68">
        <f t="shared" si="177"/>
        <v>0</v>
      </c>
      <c r="Q265" s="68">
        <f t="shared" si="178"/>
        <v>0</v>
      </c>
      <c r="R265" s="68"/>
      <c r="S265" s="68"/>
      <c r="T265" s="68">
        <f t="shared" si="129"/>
        <v>0</v>
      </c>
      <c r="U265" s="68">
        <f t="shared" si="179"/>
        <v>0</v>
      </c>
      <c r="V265" s="68">
        <f t="shared" si="180"/>
        <v>0</v>
      </c>
      <c r="W265" s="68">
        <f t="shared" si="181"/>
        <v>0</v>
      </c>
      <c r="X265" s="68">
        <f t="shared" si="182"/>
        <v>0</v>
      </c>
      <c r="Y265" s="68">
        <f t="shared" si="147"/>
        <v>0</v>
      </c>
      <c r="Z265" s="68"/>
      <c r="AA265" s="68"/>
      <c r="AB265" s="68"/>
      <c r="AC265" s="68"/>
      <c r="AD265" s="4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row>
    <row r="266" spans="1:54">
      <c r="A266" s="70" t="s">
        <v>565</v>
      </c>
      <c r="B266" s="65" t="s">
        <v>378</v>
      </c>
      <c r="C266" s="66" t="s">
        <v>537</v>
      </c>
      <c r="D266" s="67"/>
      <c r="E266" s="47">
        <f t="shared" si="95"/>
        <v>0</v>
      </c>
      <c r="F266" s="68">
        <f t="shared" si="168"/>
        <v>0</v>
      </c>
      <c r="G266" s="68">
        <f t="shared" si="165"/>
        <v>0</v>
      </c>
      <c r="H266" s="68">
        <f t="shared" si="169"/>
        <v>0</v>
      </c>
      <c r="I266" s="68">
        <f t="shared" si="170"/>
        <v>0</v>
      </c>
      <c r="J266" s="68">
        <f t="shared" si="171"/>
        <v>0</v>
      </c>
      <c r="K266" s="68">
        <f t="shared" si="172"/>
        <v>0</v>
      </c>
      <c r="L266" s="68">
        <f t="shared" si="173"/>
        <v>0</v>
      </c>
      <c r="M266" s="68">
        <f t="shared" si="174"/>
        <v>0</v>
      </c>
      <c r="N266" s="68">
        <f t="shared" si="175"/>
        <v>0</v>
      </c>
      <c r="O266" s="68">
        <f t="shared" si="176"/>
        <v>0</v>
      </c>
      <c r="P266" s="68">
        <f t="shared" si="177"/>
        <v>0</v>
      </c>
      <c r="Q266" s="68">
        <f t="shared" si="178"/>
        <v>0</v>
      </c>
      <c r="R266" s="68"/>
      <c r="S266" s="68"/>
      <c r="T266" s="68">
        <f t="shared" si="129"/>
        <v>0</v>
      </c>
      <c r="U266" s="68">
        <f t="shared" si="179"/>
        <v>0</v>
      </c>
      <c r="V266" s="68">
        <f t="shared" si="180"/>
        <v>0</v>
      </c>
      <c r="W266" s="68">
        <f t="shared" si="181"/>
        <v>0</v>
      </c>
      <c r="X266" s="68">
        <f t="shared" si="182"/>
        <v>0</v>
      </c>
      <c r="Y266" s="68">
        <f t="shared" si="147"/>
        <v>0</v>
      </c>
      <c r="Z266" s="68"/>
      <c r="AA266" s="68"/>
      <c r="AB266" s="68"/>
      <c r="AC266" s="68"/>
      <c r="AD266" s="4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row>
    <row r="267" spans="1:54">
      <c r="A267" s="70" t="s">
        <v>566</v>
      </c>
      <c r="B267" s="65" t="s">
        <v>567</v>
      </c>
      <c r="C267" s="66" t="s">
        <v>537</v>
      </c>
      <c r="D267" s="67"/>
      <c r="E267" s="47">
        <f t="shared" si="95"/>
        <v>0</v>
      </c>
      <c r="F267" s="68">
        <f t="shared" si="168"/>
        <v>0</v>
      </c>
      <c r="G267" s="68">
        <f t="shared" si="165"/>
        <v>0</v>
      </c>
      <c r="H267" s="68">
        <f t="shared" si="169"/>
        <v>0</v>
      </c>
      <c r="I267" s="68">
        <f t="shared" si="170"/>
        <v>0</v>
      </c>
      <c r="J267" s="68">
        <f t="shared" si="171"/>
        <v>0</v>
      </c>
      <c r="K267" s="68">
        <f t="shared" si="172"/>
        <v>0</v>
      </c>
      <c r="L267" s="68">
        <f t="shared" si="173"/>
        <v>0</v>
      </c>
      <c r="M267" s="68">
        <f t="shared" si="174"/>
        <v>0</v>
      </c>
      <c r="N267" s="68">
        <f t="shared" si="175"/>
        <v>0</v>
      </c>
      <c r="O267" s="68">
        <f t="shared" si="176"/>
        <v>0</v>
      </c>
      <c r="P267" s="68">
        <f t="shared" si="177"/>
        <v>0</v>
      </c>
      <c r="Q267" s="68">
        <f t="shared" si="178"/>
        <v>0</v>
      </c>
      <c r="R267" s="68"/>
      <c r="S267" s="68"/>
      <c r="T267" s="68">
        <f t="shared" si="129"/>
        <v>0</v>
      </c>
      <c r="U267" s="68">
        <f t="shared" si="179"/>
        <v>0</v>
      </c>
      <c r="V267" s="68">
        <f t="shared" si="180"/>
        <v>0</v>
      </c>
      <c r="W267" s="68">
        <f t="shared" si="181"/>
        <v>0</v>
      </c>
      <c r="X267" s="68">
        <f t="shared" si="182"/>
        <v>0</v>
      </c>
      <c r="Y267" s="68">
        <f t="shared" si="147"/>
        <v>0</v>
      </c>
      <c r="Z267" s="68"/>
      <c r="AA267" s="68"/>
      <c r="AB267" s="68"/>
      <c r="AC267" s="68"/>
      <c r="AD267" s="4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row>
    <row r="268" spans="1:54" s="82" customFormat="1" ht="51">
      <c r="A268" s="80" t="s">
        <v>37</v>
      </c>
      <c r="B268" s="83" t="s">
        <v>568</v>
      </c>
      <c r="C268" s="81" t="s">
        <v>537</v>
      </c>
      <c r="D268" s="62"/>
      <c r="E268" s="47">
        <f t="shared" si="95"/>
        <v>0</v>
      </c>
      <c r="F268" s="63">
        <f>IF($C268="820",$D268,)</f>
        <v>0</v>
      </c>
      <c r="G268" s="63">
        <f t="shared" si="165"/>
        <v>0</v>
      </c>
      <c r="H268" s="63">
        <f>IF($C268="864",$D268,)</f>
        <v>0</v>
      </c>
      <c r="I268" s="63">
        <f>IF($C268="867",$D268,)</f>
        <v>0</v>
      </c>
      <c r="J268" s="63">
        <f>IF($C268="861",$D268,)</f>
        <v>0</v>
      </c>
      <c r="K268" s="63">
        <f>IF($C268="862",$D268,)</f>
        <v>0</v>
      </c>
      <c r="L268" s="63">
        <f>IF($C268="865",$D268,)</f>
        <v>0</v>
      </c>
      <c r="M268" s="63">
        <f>IF($C268="868",$D268,)</f>
        <v>0</v>
      </c>
      <c r="N268" s="63">
        <f>IF($C268="869",$D268,)</f>
        <v>0</v>
      </c>
      <c r="O268" s="63">
        <f>IF($C268="871",$D268,)</f>
        <v>0</v>
      </c>
      <c r="P268" s="63">
        <f>IF($C268="874",$D268,)</f>
        <v>0</v>
      </c>
      <c r="Q268" s="63">
        <f>IF($C268="873",$D268,)</f>
        <v>0</v>
      </c>
      <c r="R268" s="63"/>
      <c r="S268" s="63"/>
      <c r="T268" s="63">
        <f t="shared" si="129"/>
        <v>0</v>
      </c>
      <c r="U268" s="63">
        <f>IF($C268="877",$D268,)</f>
        <v>0</v>
      </c>
      <c r="V268" s="63">
        <f>IF($C268="875",$D268,)</f>
        <v>0</v>
      </c>
      <c r="W268" s="63">
        <f>IF($C268="872",$D268,)</f>
        <v>0</v>
      </c>
      <c r="X268" s="63">
        <f>IF($C268="909",$D268,)</f>
        <v>0</v>
      </c>
      <c r="Y268" s="63">
        <f t="shared" si="147"/>
        <v>0</v>
      </c>
      <c r="Z268" s="63"/>
      <c r="AA268" s="63">
        <f t="shared" si="112"/>
        <v>0</v>
      </c>
      <c r="AB268" s="63"/>
      <c r="AC268" s="63"/>
      <c r="AD268" s="48"/>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row>
    <row r="269" spans="1:54" s="82" customFormat="1" ht="25.5">
      <c r="A269" s="80" t="s">
        <v>39</v>
      </c>
      <c r="B269" s="60" t="s">
        <v>569</v>
      </c>
      <c r="C269" s="81"/>
      <c r="D269" s="62">
        <f>D270+D271</f>
        <v>0</v>
      </c>
      <c r="E269" s="47">
        <f t="shared" si="95"/>
        <v>0</v>
      </c>
      <c r="F269" s="63">
        <f>F270+F271</f>
        <v>0</v>
      </c>
      <c r="G269" s="63">
        <f t="shared" si="165"/>
        <v>0</v>
      </c>
      <c r="H269" s="63">
        <f>H270+H271</f>
        <v>0</v>
      </c>
      <c r="I269" s="63">
        <f t="shared" ref="I269:Q269" si="183">I270+I271</f>
        <v>0</v>
      </c>
      <c r="J269" s="63">
        <f t="shared" si="183"/>
        <v>0</v>
      </c>
      <c r="K269" s="63">
        <f t="shared" si="183"/>
        <v>0</v>
      </c>
      <c r="L269" s="63">
        <f t="shared" si="183"/>
        <v>0</v>
      </c>
      <c r="M269" s="63">
        <f t="shared" si="183"/>
        <v>0</v>
      </c>
      <c r="N269" s="63">
        <f t="shared" si="183"/>
        <v>0</v>
      </c>
      <c r="O269" s="63">
        <f t="shared" si="183"/>
        <v>0</v>
      </c>
      <c r="P269" s="63">
        <f t="shared" si="183"/>
        <v>0</v>
      </c>
      <c r="Q269" s="63">
        <f t="shared" si="183"/>
        <v>0</v>
      </c>
      <c r="R269" s="63"/>
      <c r="S269" s="63"/>
      <c r="T269" s="63">
        <f t="shared" si="129"/>
        <v>0</v>
      </c>
      <c r="U269" s="63">
        <f>U270+U271</f>
        <v>0</v>
      </c>
      <c r="V269" s="63">
        <f>V270+V271</f>
        <v>0</v>
      </c>
      <c r="W269" s="63">
        <f>W270+W271</f>
        <v>0</v>
      </c>
      <c r="X269" s="63">
        <f>X270+X271</f>
        <v>0</v>
      </c>
      <c r="Y269" s="63">
        <f t="shared" si="147"/>
        <v>0</v>
      </c>
      <c r="Z269" s="63"/>
      <c r="AA269" s="63">
        <f t="shared" si="112"/>
        <v>0</v>
      </c>
      <c r="AB269" s="63"/>
      <c r="AC269" s="63"/>
      <c r="AD269" s="48"/>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row>
    <row r="270" spans="1:54" ht="25.5">
      <c r="A270" s="74" t="s">
        <v>30</v>
      </c>
      <c r="B270" s="84" t="s">
        <v>570</v>
      </c>
      <c r="C270" s="66" t="s">
        <v>542</v>
      </c>
      <c r="D270" s="67"/>
      <c r="E270" s="47">
        <f t="shared" ref="E270:E333" si="184">F270+G270+Y270+Z270+AA270</f>
        <v>0</v>
      </c>
      <c r="F270" s="68">
        <f>IF($C270="820",$D270,)</f>
        <v>0</v>
      </c>
      <c r="G270" s="68">
        <f t="shared" si="165"/>
        <v>0</v>
      </c>
      <c r="H270" s="68">
        <f>IF($C270="864",$D270,)</f>
        <v>0</v>
      </c>
      <c r="I270" s="68">
        <f>IF($C270="867",$D270,)</f>
        <v>0</v>
      </c>
      <c r="J270" s="68">
        <f>IF($C270="861",$D270,)</f>
        <v>0</v>
      </c>
      <c r="K270" s="68">
        <f>IF($C270="862",$D270,)</f>
        <v>0</v>
      </c>
      <c r="L270" s="68">
        <f>IF($C270="865",$D270,)</f>
        <v>0</v>
      </c>
      <c r="M270" s="68">
        <f>IF($C270="868",$D270,)</f>
        <v>0</v>
      </c>
      <c r="N270" s="68">
        <f>IF($C270="869",$D270,)</f>
        <v>0</v>
      </c>
      <c r="O270" s="68">
        <f>IF($C270="871",$D270,)</f>
        <v>0</v>
      </c>
      <c r="P270" s="68">
        <f>IF($C270="874",$D270,)</f>
        <v>0</v>
      </c>
      <c r="Q270" s="68">
        <f>IF($C270="873",$D270,)</f>
        <v>0</v>
      </c>
      <c r="R270" s="68"/>
      <c r="S270" s="68"/>
      <c r="T270" s="68">
        <f t="shared" si="129"/>
        <v>0</v>
      </c>
      <c r="U270" s="68">
        <f>IF($C270="877",$D270,)</f>
        <v>0</v>
      </c>
      <c r="V270" s="68">
        <f>IF($C270="875",$D270,)</f>
        <v>0</v>
      </c>
      <c r="W270" s="68">
        <f>IF($C270="872",$D270,)</f>
        <v>0</v>
      </c>
      <c r="X270" s="68">
        <f>IF($C270="909",$D270,)</f>
        <v>0</v>
      </c>
      <c r="Y270" s="68">
        <f t="shared" si="147"/>
        <v>0</v>
      </c>
      <c r="Z270" s="68"/>
      <c r="AA270" s="68">
        <f t="shared" si="112"/>
        <v>0</v>
      </c>
      <c r="AB270" s="68"/>
      <c r="AC270" s="68"/>
      <c r="AD270" s="4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row>
    <row r="271" spans="1:54" ht="38.25">
      <c r="A271" s="74" t="s">
        <v>30</v>
      </c>
      <c r="B271" s="53" t="s">
        <v>571</v>
      </c>
      <c r="C271" s="66" t="s">
        <v>542</v>
      </c>
      <c r="D271" s="67"/>
      <c r="E271" s="47">
        <f t="shared" si="184"/>
        <v>0</v>
      </c>
      <c r="F271" s="68">
        <f>IF($C271="820",$D271,)</f>
        <v>0</v>
      </c>
      <c r="G271" s="68">
        <f t="shared" si="165"/>
        <v>0</v>
      </c>
      <c r="H271" s="68">
        <f>IF($C271="864",$D271,)</f>
        <v>0</v>
      </c>
      <c r="I271" s="68">
        <f>IF($C271="867",$D271,)</f>
        <v>0</v>
      </c>
      <c r="J271" s="68">
        <f>IF($C271="861",$D271,)</f>
        <v>0</v>
      </c>
      <c r="K271" s="68">
        <f>IF($C271="862",$D271,)</f>
        <v>0</v>
      </c>
      <c r="L271" s="68">
        <f>IF($C271="865",$D271,)</f>
        <v>0</v>
      </c>
      <c r="M271" s="68">
        <f>IF($C271="868",$D271,)</f>
        <v>0</v>
      </c>
      <c r="N271" s="68">
        <f>IF($C271="869",$D271,)</f>
        <v>0</v>
      </c>
      <c r="O271" s="68">
        <f>IF($C271="871",$D271,)</f>
        <v>0</v>
      </c>
      <c r="P271" s="68">
        <f>IF($C271="874",$D271,)</f>
        <v>0</v>
      </c>
      <c r="Q271" s="68">
        <f>IF($C271="873",$D271,)</f>
        <v>0</v>
      </c>
      <c r="R271" s="68"/>
      <c r="S271" s="68"/>
      <c r="T271" s="68">
        <f t="shared" si="129"/>
        <v>0</v>
      </c>
      <c r="U271" s="68">
        <f>IF($C271="877",$D271,)</f>
        <v>0</v>
      </c>
      <c r="V271" s="68">
        <f>IF($C271="875",$D271,)</f>
        <v>0</v>
      </c>
      <c r="W271" s="68">
        <f>IF($C271="872",$D271,)</f>
        <v>0</v>
      </c>
      <c r="X271" s="68">
        <f>IF($C271="909",$D271,)</f>
        <v>0</v>
      </c>
      <c r="Y271" s="68">
        <f t="shared" si="147"/>
        <v>0</v>
      </c>
      <c r="Z271" s="68"/>
      <c r="AA271" s="68">
        <f t="shared" si="112"/>
        <v>0</v>
      </c>
      <c r="AB271" s="68"/>
      <c r="AC271" s="68"/>
      <c r="AD271" s="4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row>
    <row r="272" spans="1:54" s="82" customFormat="1" ht="38.25">
      <c r="A272" s="80" t="s">
        <v>40</v>
      </c>
      <c r="B272" s="60" t="s">
        <v>572</v>
      </c>
      <c r="C272" s="85" t="s">
        <v>538</v>
      </c>
      <c r="D272" s="62"/>
      <c r="E272" s="47">
        <f t="shared" si="184"/>
        <v>0</v>
      </c>
      <c r="F272" s="63">
        <f>IF($C272="820",$D272,)</f>
        <v>0</v>
      </c>
      <c r="G272" s="63">
        <f t="shared" si="165"/>
        <v>0</v>
      </c>
      <c r="H272" s="63">
        <f>IF($C272="864",$D272,)</f>
        <v>0</v>
      </c>
      <c r="I272" s="63">
        <f>IF($C272="867",$D272,)</f>
        <v>0</v>
      </c>
      <c r="J272" s="63">
        <f>IF($C272="861",$D272,)</f>
        <v>0</v>
      </c>
      <c r="K272" s="63">
        <f>IF($C272="862",$D272,)</f>
        <v>0</v>
      </c>
      <c r="L272" s="63">
        <f>IF($C272="865",$D272,)</f>
        <v>0</v>
      </c>
      <c r="M272" s="63">
        <f>IF($C272="868",$D272,)</f>
        <v>0</v>
      </c>
      <c r="N272" s="63">
        <f>IF($C272="869",$D272,)</f>
        <v>0</v>
      </c>
      <c r="O272" s="63">
        <f>IF($C272="871",$D272,)</f>
        <v>0</v>
      </c>
      <c r="P272" s="63">
        <f>IF($C272="874",$D272,)</f>
        <v>0</v>
      </c>
      <c r="Q272" s="63">
        <f>IF($C272="873",$D272,)</f>
        <v>0</v>
      </c>
      <c r="R272" s="63"/>
      <c r="S272" s="63"/>
      <c r="T272" s="63">
        <f t="shared" si="129"/>
        <v>0</v>
      </c>
      <c r="U272" s="63">
        <f>IF($C272="877",$D272,)</f>
        <v>0</v>
      </c>
      <c r="V272" s="63">
        <f>IF($C272="875",$D272,)</f>
        <v>0</v>
      </c>
      <c r="W272" s="63">
        <f>IF($C272="872",$D272,)</f>
        <v>0</v>
      </c>
      <c r="X272" s="63">
        <f>IF($C272="909",$D272,)</f>
        <v>0</v>
      </c>
      <c r="Y272" s="63">
        <f t="shared" si="147"/>
        <v>0</v>
      </c>
      <c r="Z272" s="63"/>
      <c r="AA272" s="63">
        <f t="shared" si="112"/>
        <v>0</v>
      </c>
      <c r="AB272" s="63"/>
      <c r="AC272" s="63"/>
      <c r="AD272" s="48"/>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row>
    <row r="273" spans="1:54" s="82" customFormat="1" ht="25.5">
      <c r="A273" s="80" t="s">
        <v>127</v>
      </c>
      <c r="B273" s="86" t="s">
        <v>573</v>
      </c>
      <c r="C273" s="85" t="s">
        <v>537</v>
      </c>
      <c r="D273" s="62"/>
      <c r="E273" s="47">
        <f t="shared" si="184"/>
        <v>0</v>
      </c>
      <c r="F273" s="63">
        <f>IF($C273="820",$D273,)</f>
        <v>0</v>
      </c>
      <c r="G273" s="63">
        <f t="shared" si="165"/>
        <v>0</v>
      </c>
      <c r="H273" s="63">
        <f>IF($C273="864",$D273,)</f>
        <v>0</v>
      </c>
      <c r="I273" s="63">
        <f>IF($C273="867",$D273,)</f>
        <v>0</v>
      </c>
      <c r="J273" s="63">
        <f>IF($C273="861",$D273,)</f>
        <v>0</v>
      </c>
      <c r="K273" s="63">
        <f>IF($C273="862",$D273,)</f>
        <v>0</v>
      </c>
      <c r="L273" s="63">
        <f>IF($C273="865",$D273,)</f>
        <v>0</v>
      </c>
      <c r="M273" s="63">
        <f>IF($C273="868",$D273,)</f>
        <v>0</v>
      </c>
      <c r="N273" s="63">
        <f>IF($C273="869",$D273,)</f>
        <v>0</v>
      </c>
      <c r="O273" s="63">
        <f>IF($C273="871",$D273,)</f>
        <v>0</v>
      </c>
      <c r="P273" s="63">
        <f>IF($C273="874",$D273,)</f>
        <v>0</v>
      </c>
      <c r="Q273" s="63">
        <f>IF($C273="873",$D273,)</f>
        <v>0</v>
      </c>
      <c r="R273" s="63"/>
      <c r="S273" s="63"/>
      <c r="T273" s="63">
        <f t="shared" si="129"/>
        <v>0</v>
      </c>
      <c r="U273" s="63">
        <f>IF($C273="877",$D273,)</f>
        <v>0</v>
      </c>
      <c r="V273" s="63">
        <f>IF($C273="875",$D273,)</f>
        <v>0</v>
      </c>
      <c r="W273" s="63">
        <f>IF($C273="872",$D273,)</f>
        <v>0</v>
      </c>
      <c r="X273" s="63">
        <f>IF($C273="909",$D273,)</f>
        <v>0</v>
      </c>
      <c r="Y273" s="63">
        <f t="shared" si="147"/>
        <v>0</v>
      </c>
      <c r="Z273" s="63"/>
      <c r="AA273" s="63"/>
      <c r="AB273" s="63"/>
      <c r="AC273" s="63"/>
      <c r="AD273" s="48"/>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row>
    <row r="274" spans="1:54" s="82" customFormat="1">
      <c r="A274" s="80" t="s">
        <v>162</v>
      </c>
      <c r="B274" s="86" t="s">
        <v>574</v>
      </c>
      <c r="C274" s="87"/>
      <c r="D274" s="62">
        <f>D275+D277+D278+D279+D280+D281+D282+D283+D284+D285+D286+D287+D288</f>
        <v>0</v>
      </c>
      <c r="E274" s="47">
        <f t="shared" si="184"/>
        <v>0</v>
      </c>
      <c r="F274" s="63">
        <f>F275+F277+F278+F279+F289+F290</f>
        <v>0</v>
      </c>
      <c r="G274" s="63">
        <f t="shared" si="165"/>
        <v>0</v>
      </c>
      <c r="H274" s="62">
        <f>H275+H277+H278+H279+H280+H281+H282+H283+H284+H285+H286+H287+H288</f>
        <v>0</v>
      </c>
      <c r="I274" s="62">
        <f t="shared" ref="I274:Y274" si="185">I275+I277+I278+I279+I280+I281+I282+I283+I284+I285+I286+I287+I288</f>
        <v>0</v>
      </c>
      <c r="J274" s="62">
        <f t="shared" si="185"/>
        <v>0</v>
      </c>
      <c r="K274" s="62">
        <f t="shared" si="185"/>
        <v>0</v>
      </c>
      <c r="L274" s="62">
        <f t="shared" si="185"/>
        <v>0</v>
      </c>
      <c r="M274" s="62">
        <f t="shared" si="185"/>
        <v>0</v>
      </c>
      <c r="N274" s="62">
        <f t="shared" si="185"/>
        <v>0</v>
      </c>
      <c r="O274" s="62">
        <f t="shared" si="185"/>
        <v>0</v>
      </c>
      <c r="P274" s="62">
        <f t="shared" si="185"/>
        <v>0</v>
      </c>
      <c r="Q274" s="62">
        <f t="shared" si="185"/>
        <v>0</v>
      </c>
      <c r="R274" s="62">
        <f t="shared" si="185"/>
        <v>0</v>
      </c>
      <c r="S274" s="62">
        <f t="shared" si="185"/>
        <v>0</v>
      </c>
      <c r="T274" s="62">
        <f t="shared" si="185"/>
        <v>0</v>
      </c>
      <c r="U274" s="62">
        <f t="shared" si="185"/>
        <v>0</v>
      </c>
      <c r="V274" s="62">
        <f t="shared" si="185"/>
        <v>0</v>
      </c>
      <c r="W274" s="62">
        <f t="shared" si="185"/>
        <v>0</v>
      </c>
      <c r="X274" s="62">
        <f t="shared" si="185"/>
        <v>0</v>
      </c>
      <c r="Y274" s="62">
        <f t="shared" si="185"/>
        <v>0</v>
      </c>
      <c r="Z274" s="63"/>
      <c r="AA274" s="63">
        <f t="shared" si="112"/>
        <v>0</v>
      </c>
      <c r="AB274" s="63"/>
      <c r="AC274" s="63"/>
      <c r="AD274" s="48"/>
      <c r="AE274" s="63"/>
      <c r="AF274" s="63"/>
      <c r="AG274" s="62"/>
      <c r="AH274" s="62"/>
      <c r="AI274" s="62"/>
      <c r="AJ274" s="62"/>
      <c r="AK274" s="62"/>
      <c r="AL274" s="62"/>
      <c r="AM274" s="62"/>
      <c r="AN274" s="62"/>
      <c r="AO274" s="62"/>
      <c r="AP274" s="62"/>
      <c r="AQ274" s="62"/>
      <c r="AR274" s="62"/>
      <c r="AS274" s="62"/>
      <c r="AT274" s="62"/>
      <c r="AU274" s="62"/>
      <c r="AV274" s="62"/>
      <c r="AW274" s="62"/>
      <c r="AX274" s="62"/>
      <c r="AY274" s="63"/>
      <c r="AZ274" s="63"/>
      <c r="BA274" s="63"/>
      <c r="BB274" s="63"/>
    </row>
    <row r="275" spans="1:54">
      <c r="A275" s="72" t="s">
        <v>422</v>
      </c>
      <c r="B275" s="53" t="s">
        <v>575</v>
      </c>
      <c r="C275" s="66" t="s">
        <v>549</v>
      </c>
      <c r="D275" s="67"/>
      <c r="E275" s="47">
        <f t="shared" si="184"/>
        <v>0</v>
      </c>
      <c r="F275" s="68">
        <f t="shared" ref="F275:F300" si="186">IF($C275="820",$D275,)</f>
        <v>0</v>
      </c>
      <c r="G275" s="68">
        <f t="shared" si="165"/>
        <v>0</v>
      </c>
      <c r="H275" s="68">
        <f t="shared" ref="H275:H300" si="187">IF($C275="864",$D275,)</f>
        <v>0</v>
      </c>
      <c r="I275" s="68">
        <f t="shared" ref="I275:I300" si="188">IF($C275="867",$D275,)</f>
        <v>0</v>
      </c>
      <c r="J275" s="68">
        <f t="shared" ref="J275:J300" si="189">IF($C275="861",$D275,)</f>
        <v>0</v>
      </c>
      <c r="K275" s="68">
        <f t="shared" ref="K275:K300" si="190">IF($C275="862",$D275,)</f>
        <v>0</v>
      </c>
      <c r="L275" s="68">
        <f t="shared" ref="L275:L300" si="191">IF($C275="865",$D275,)</f>
        <v>0</v>
      </c>
      <c r="M275" s="68">
        <f t="shared" ref="M275:M300" si="192">IF($C275="868",$D275,)</f>
        <v>0</v>
      </c>
      <c r="N275" s="68">
        <f t="shared" ref="N275:N300" si="193">IF($C275="869",$D275,)</f>
        <v>0</v>
      </c>
      <c r="O275" s="68">
        <f t="shared" ref="O275:O300" si="194">IF($C275="871",$D275,)</f>
        <v>0</v>
      </c>
      <c r="P275" s="68">
        <f t="shared" ref="P275:P300" si="195">IF($C275="874",$D275,)</f>
        <v>0</v>
      </c>
      <c r="Q275" s="68">
        <f t="shared" ref="Q275:Q300" si="196">IF($C275="873",$D275,)</f>
        <v>0</v>
      </c>
      <c r="R275" s="68"/>
      <c r="S275" s="68"/>
      <c r="T275" s="68">
        <f t="shared" si="129"/>
        <v>0</v>
      </c>
      <c r="U275" s="68">
        <f>IF($C275="877",$D275,)</f>
        <v>0</v>
      </c>
      <c r="V275" s="68">
        <f t="shared" ref="V275:V300" si="197">IF($C275="875",$D275,)</f>
        <v>0</v>
      </c>
      <c r="W275" s="68">
        <f t="shared" ref="W275:W300" si="198">IF($C275="872",$D275,)</f>
        <v>0</v>
      </c>
      <c r="X275" s="68">
        <f t="shared" ref="X275:X300" si="199">IF($C275="909",$D275,)</f>
        <v>0</v>
      </c>
      <c r="Y275" s="68">
        <f t="shared" si="147"/>
        <v>0</v>
      </c>
      <c r="Z275" s="68"/>
      <c r="AA275" s="68">
        <f t="shared" si="112"/>
        <v>0</v>
      </c>
      <c r="AB275" s="68"/>
      <c r="AC275" s="68"/>
      <c r="AD275" s="4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row>
    <row r="276" spans="1:54" ht="63.75" hidden="1" customHeight="1" outlineLevel="1">
      <c r="A276" s="72"/>
      <c r="B276" s="53" t="s">
        <v>576</v>
      </c>
      <c r="C276" s="66" t="s">
        <v>549</v>
      </c>
      <c r="D276" s="67">
        <v>504</v>
      </c>
      <c r="E276" s="47">
        <f t="shared" si="184"/>
        <v>504</v>
      </c>
      <c r="F276" s="68">
        <f t="shared" si="186"/>
        <v>0</v>
      </c>
      <c r="G276" s="68">
        <f t="shared" si="165"/>
        <v>504</v>
      </c>
      <c r="H276" s="68">
        <f t="shared" si="187"/>
        <v>0</v>
      </c>
      <c r="I276" s="68">
        <f t="shared" si="188"/>
        <v>0</v>
      </c>
      <c r="J276" s="68">
        <f t="shared" si="189"/>
        <v>0</v>
      </c>
      <c r="K276" s="68">
        <f t="shared" si="190"/>
        <v>0</v>
      </c>
      <c r="L276" s="68">
        <f t="shared" si="191"/>
        <v>0</v>
      </c>
      <c r="M276" s="68">
        <f t="shared" si="192"/>
        <v>0</v>
      </c>
      <c r="N276" s="68">
        <f t="shared" si="193"/>
        <v>0</v>
      </c>
      <c r="O276" s="68">
        <f t="shared" si="194"/>
        <v>0</v>
      </c>
      <c r="P276" s="68">
        <f t="shared" si="195"/>
        <v>0</v>
      </c>
      <c r="Q276" s="68">
        <f t="shared" si="196"/>
        <v>0</v>
      </c>
      <c r="R276" s="68"/>
      <c r="S276" s="68"/>
      <c r="T276" s="68">
        <f t="shared" si="129"/>
        <v>0</v>
      </c>
      <c r="U276" s="68">
        <f t="shared" ref="U276:U300" si="200">IF($C276="877",$D276,)</f>
        <v>504</v>
      </c>
      <c r="V276" s="68">
        <f t="shared" si="197"/>
        <v>0</v>
      </c>
      <c r="W276" s="68">
        <f t="shared" si="198"/>
        <v>0</v>
      </c>
      <c r="X276" s="68">
        <f t="shared" si="199"/>
        <v>0</v>
      </c>
      <c r="Y276" s="68">
        <f t="shared" si="147"/>
        <v>0</v>
      </c>
      <c r="Z276" s="68"/>
      <c r="AA276" s="68"/>
      <c r="AB276" s="68"/>
      <c r="AC276" s="68"/>
      <c r="AD276" s="48"/>
      <c r="AE276" s="68"/>
      <c r="AF276" s="68"/>
      <c r="AG276" s="68"/>
      <c r="AH276" s="68"/>
      <c r="AI276" s="68"/>
      <c r="AJ276" s="68"/>
      <c r="AK276" s="68"/>
      <c r="AL276" s="68"/>
      <c r="AM276" s="68"/>
      <c r="AN276" s="68"/>
      <c r="AO276" s="68"/>
      <c r="AP276" s="68"/>
      <c r="AQ276" s="68"/>
      <c r="AR276" s="68"/>
      <c r="AS276" s="68"/>
      <c r="AT276" s="68"/>
      <c r="AU276" s="68"/>
      <c r="AV276" s="68"/>
      <c r="AW276" s="68"/>
      <c r="AX276" s="68"/>
      <c r="AY276" s="68"/>
      <c r="AZ276" s="68"/>
      <c r="BA276" s="68"/>
      <c r="BB276" s="68"/>
    </row>
    <row r="277" spans="1:54" ht="25.5" collapsed="1">
      <c r="A277" s="72" t="s">
        <v>423</v>
      </c>
      <c r="B277" s="53" t="s">
        <v>577</v>
      </c>
      <c r="C277" s="66" t="s">
        <v>549</v>
      </c>
      <c r="D277" s="67"/>
      <c r="E277" s="47">
        <f t="shared" si="184"/>
        <v>0</v>
      </c>
      <c r="F277" s="68">
        <f t="shared" si="186"/>
        <v>0</v>
      </c>
      <c r="G277" s="68">
        <f t="shared" si="165"/>
        <v>0</v>
      </c>
      <c r="H277" s="68">
        <f t="shared" si="187"/>
        <v>0</v>
      </c>
      <c r="I277" s="68">
        <f t="shared" si="188"/>
        <v>0</v>
      </c>
      <c r="J277" s="68">
        <f t="shared" si="189"/>
        <v>0</v>
      </c>
      <c r="K277" s="68">
        <f t="shared" si="190"/>
        <v>0</v>
      </c>
      <c r="L277" s="68">
        <f t="shared" si="191"/>
        <v>0</v>
      </c>
      <c r="M277" s="68">
        <f t="shared" si="192"/>
        <v>0</v>
      </c>
      <c r="N277" s="68">
        <f t="shared" si="193"/>
        <v>0</v>
      </c>
      <c r="O277" s="68">
        <f t="shared" si="194"/>
        <v>0</v>
      </c>
      <c r="P277" s="68">
        <f t="shared" si="195"/>
        <v>0</v>
      </c>
      <c r="Q277" s="68">
        <f t="shared" si="196"/>
        <v>0</v>
      </c>
      <c r="R277" s="68"/>
      <c r="S277" s="68"/>
      <c r="T277" s="68">
        <f t="shared" si="129"/>
        <v>0</v>
      </c>
      <c r="U277" s="68">
        <f t="shared" si="200"/>
        <v>0</v>
      </c>
      <c r="V277" s="68">
        <f t="shared" si="197"/>
        <v>0</v>
      </c>
      <c r="W277" s="68">
        <f t="shared" si="198"/>
        <v>0</v>
      </c>
      <c r="X277" s="68">
        <f t="shared" si="199"/>
        <v>0</v>
      </c>
      <c r="Y277" s="68">
        <f t="shared" si="147"/>
        <v>0</v>
      </c>
      <c r="Z277" s="68"/>
      <c r="AA277" s="68">
        <f t="shared" si="112"/>
        <v>0</v>
      </c>
      <c r="AB277" s="68"/>
      <c r="AC277" s="68"/>
      <c r="AD277" s="4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row>
    <row r="278" spans="1:54">
      <c r="A278" s="72" t="s">
        <v>424</v>
      </c>
      <c r="B278" s="53" t="s">
        <v>578</v>
      </c>
      <c r="C278" s="66" t="s">
        <v>549</v>
      </c>
      <c r="D278" s="67"/>
      <c r="E278" s="47">
        <f t="shared" si="184"/>
        <v>0</v>
      </c>
      <c r="F278" s="68">
        <f t="shared" si="186"/>
        <v>0</v>
      </c>
      <c r="G278" s="68">
        <f t="shared" si="165"/>
        <v>0</v>
      </c>
      <c r="H278" s="68">
        <f t="shared" si="187"/>
        <v>0</v>
      </c>
      <c r="I278" s="68">
        <f t="shared" si="188"/>
        <v>0</v>
      </c>
      <c r="J278" s="68">
        <f t="shared" si="189"/>
        <v>0</v>
      </c>
      <c r="K278" s="68">
        <f t="shared" si="190"/>
        <v>0</v>
      </c>
      <c r="L278" s="68">
        <f t="shared" si="191"/>
        <v>0</v>
      </c>
      <c r="M278" s="68">
        <f t="shared" si="192"/>
        <v>0</v>
      </c>
      <c r="N278" s="68">
        <f t="shared" si="193"/>
        <v>0</v>
      </c>
      <c r="O278" s="68">
        <f t="shared" si="194"/>
        <v>0</v>
      </c>
      <c r="P278" s="68">
        <f t="shared" si="195"/>
        <v>0</v>
      </c>
      <c r="Q278" s="68">
        <f t="shared" si="196"/>
        <v>0</v>
      </c>
      <c r="R278" s="68"/>
      <c r="S278" s="68"/>
      <c r="T278" s="68">
        <f t="shared" si="129"/>
        <v>0</v>
      </c>
      <c r="U278" s="68">
        <f t="shared" si="200"/>
        <v>0</v>
      </c>
      <c r="V278" s="68">
        <f t="shared" si="197"/>
        <v>0</v>
      </c>
      <c r="W278" s="68">
        <f t="shared" si="198"/>
        <v>0</v>
      </c>
      <c r="X278" s="68">
        <f t="shared" si="199"/>
        <v>0</v>
      </c>
      <c r="Y278" s="68">
        <f t="shared" si="147"/>
        <v>0</v>
      </c>
      <c r="Z278" s="68"/>
      <c r="AA278" s="68">
        <f t="shared" si="112"/>
        <v>0</v>
      </c>
      <c r="AB278" s="68"/>
      <c r="AC278" s="68"/>
      <c r="AD278" s="4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row>
    <row r="279" spans="1:54">
      <c r="A279" s="72" t="s">
        <v>425</v>
      </c>
      <c r="B279" s="53" t="s">
        <v>579</v>
      </c>
      <c r="C279" s="66" t="s">
        <v>549</v>
      </c>
      <c r="D279" s="67"/>
      <c r="E279" s="47">
        <f t="shared" si="184"/>
        <v>0</v>
      </c>
      <c r="F279" s="68">
        <f t="shared" si="186"/>
        <v>0</v>
      </c>
      <c r="G279" s="68">
        <f t="shared" si="165"/>
        <v>0</v>
      </c>
      <c r="H279" s="68">
        <f t="shared" si="187"/>
        <v>0</v>
      </c>
      <c r="I279" s="68">
        <f t="shared" si="188"/>
        <v>0</v>
      </c>
      <c r="J279" s="68">
        <f t="shared" si="189"/>
        <v>0</v>
      </c>
      <c r="K279" s="68">
        <f t="shared" si="190"/>
        <v>0</v>
      </c>
      <c r="L279" s="68">
        <f t="shared" si="191"/>
        <v>0</v>
      </c>
      <c r="M279" s="68">
        <f t="shared" si="192"/>
        <v>0</v>
      </c>
      <c r="N279" s="68">
        <f t="shared" si="193"/>
        <v>0</v>
      </c>
      <c r="O279" s="68">
        <f t="shared" si="194"/>
        <v>0</v>
      </c>
      <c r="P279" s="68">
        <f t="shared" si="195"/>
        <v>0</v>
      </c>
      <c r="Q279" s="68">
        <f t="shared" si="196"/>
        <v>0</v>
      </c>
      <c r="R279" s="68"/>
      <c r="S279" s="68"/>
      <c r="T279" s="68">
        <f t="shared" si="129"/>
        <v>0</v>
      </c>
      <c r="U279" s="68">
        <f t="shared" si="200"/>
        <v>0</v>
      </c>
      <c r="V279" s="68">
        <f t="shared" si="197"/>
        <v>0</v>
      </c>
      <c r="W279" s="68">
        <f t="shared" si="198"/>
        <v>0</v>
      </c>
      <c r="X279" s="68">
        <f t="shared" si="199"/>
        <v>0</v>
      </c>
      <c r="Y279" s="68">
        <f t="shared" si="147"/>
        <v>0</v>
      </c>
      <c r="Z279" s="68"/>
      <c r="AA279" s="68">
        <f t="shared" si="112"/>
        <v>0</v>
      </c>
      <c r="AB279" s="68"/>
      <c r="AC279" s="68"/>
      <c r="AD279" s="4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row>
    <row r="280" spans="1:54" ht="25.5">
      <c r="A280" s="72" t="s">
        <v>426</v>
      </c>
      <c r="B280" s="53" t="s">
        <v>580</v>
      </c>
      <c r="C280" s="66" t="s">
        <v>538</v>
      </c>
      <c r="D280" s="67"/>
      <c r="E280" s="47">
        <f t="shared" si="184"/>
        <v>0</v>
      </c>
      <c r="F280" s="68">
        <f t="shared" si="186"/>
        <v>0</v>
      </c>
      <c r="G280" s="68">
        <f t="shared" si="165"/>
        <v>0</v>
      </c>
      <c r="H280" s="68">
        <f t="shared" si="187"/>
        <v>0</v>
      </c>
      <c r="I280" s="68">
        <f t="shared" si="188"/>
        <v>0</v>
      </c>
      <c r="J280" s="68">
        <f t="shared" si="189"/>
        <v>0</v>
      </c>
      <c r="K280" s="68">
        <f t="shared" si="190"/>
        <v>0</v>
      </c>
      <c r="L280" s="68">
        <f t="shared" si="191"/>
        <v>0</v>
      </c>
      <c r="M280" s="68">
        <f t="shared" si="192"/>
        <v>0</v>
      </c>
      <c r="N280" s="68">
        <f t="shared" si="193"/>
        <v>0</v>
      </c>
      <c r="O280" s="68">
        <f t="shared" si="194"/>
        <v>0</v>
      </c>
      <c r="P280" s="68">
        <f t="shared" si="195"/>
        <v>0</v>
      </c>
      <c r="Q280" s="68">
        <f t="shared" si="196"/>
        <v>0</v>
      </c>
      <c r="R280" s="68"/>
      <c r="S280" s="68"/>
      <c r="T280" s="68">
        <f t="shared" si="129"/>
        <v>0</v>
      </c>
      <c r="U280" s="68">
        <f t="shared" si="200"/>
        <v>0</v>
      </c>
      <c r="V280" s="68">
        <f t="shared" si="197"/>
        <v>0</v>
      </c>
      <c r="W280" s="68">
        <f t="shared" si="198"/>
        <v>0</v>
      </c>
      <c r="X280" s="68">
        <f t="shared" si="199"/>
        <v>0</v>
      </c>
      <c r="Y280" s="68">
        <f t="shared" si="147"/>
        <v>0</v>
      </c>
      <c r="Z280" s="68"/>
      <c r="AA280" s="68">
        <f t="shared" si="112"/>
        <v>0</v>
      </c>
      <c r="AB280" s="68"/>
      <c r="AC280" s="68"/>
      <c r="AD280" s="48"/>
      <c r="AE280" s="68"/>
      <c r="AF280" s="68"/>
      <c r="AG280" s="68"/>
      <c r="AH280" s="68"/>
      <c r="AI280" s="68"/>
      <c r="AJ280" s="68"/>
      <c r="AK280" s="68"/>
      <c r="AL280" s="68"/>
      <c r="AM280" s="68"/>
      <c r="AN280" s="68"/>
      <c r="AO280" s="68"/>
      <c r="AP280" s="68"/>
      <c r="AQ280" s="68"/>
      <c r="AR280" s="68"/>
      <c r="AS280" s="68"/>
      <c r="AT280" s="68"/>
      <c r="AU280" s="68"/>
      <c r="AV280" s="68"/>
      <c r="AW280" s="68"/>
      <c r="AX280" s="68"/>
      <c r="AY280" s="68"/>
      <c r="AZ280" s="68"/>
      <c r="BA280" s="68"/>
      <c r="BB280" s="68"/>
    </row>
    <row r="281" spans="1:54" ht="25.5">
      <c r="A281" s="72" t="s">
        <v>427</v>
      </c>
      <c r="B281" s="53" t="s">
        <v>581</v>
      </c>
      <c r="C281" s="66" t="s">
        <v>538</v>
      </c>
      <c r="D281" s="67"/>
      <c r="E281" s="47">
        <f t="shared" si="184"/>
        <v>0</v>
      </c>
      <c r="F281" s="68">
        <f t="shared" si="186"/>
        <v>0</v>
      </c>
      <c r="G281" s="68">
        <f t="shared" si="165"/>
        <v>0</v>
      </c>
      <c r="H281" s="68">
        <f t="shared" si="187"/>
        <v>0</v>
      </c>
      <c r="I281" s="68">
        <f t="shared" si="188"/>
        <v>0</v>
      </c>
      <c r="J281" s="68">
        <f t="shared" si="189"/>
        <v>0</v>
      </c>
      <c r="K281" s="68">
        <f t="shared" si="190"/>
        <v>0</v>
      </c>
      <c r="L281" s="68">
        <f t="shared" si="191"/>
        <v>0</v>
      </c>
      <c r="M281" s="68">
        <f t="shared" si="192"/>
        <v>0</v>
      </c>
      <c r="N281" s="68">
        <f t="shared" si="193"/>
        <v>0</v>
      </c>
      <c r="O281" s="68">
        <f t="shared" si="194"/>
        <v>0</v>
      </c>
      <c r="P281" s="68">
        <f t="shared" si="195"/>
        <v>0</v>
      </c>
      <c r="Q281" s="68">
        <f t="shared" si="196"/>
        <v>0</v>
      </c>
      <c r="R281" s="68"/>
      <c r="S281" s="68"/>
      <c r="T281" s="68">
        <f t="shared" si="129"/>
        <v>0</v>
      </c>
      <c r="U281" s="68">
        <f t="shared" si="200"/>
        <v>0</v>
      </c>
      <c r="V281" s="68">
        <f t="shared" si="197"/>
        <v>0</v>
      </c>
      <c r="W281" s="68">
        <f t="shared" si="198"/>
        <v>0</v>
      </c>
      <c r="X281" s="68">
        <f t="shared" si="199"/>
        <v>0</v>
      </c>
      <c r="Y281" s="68">
        <f t="shared" si="147"/>
        <v>0</v>
      </c>
      <c r="Z281" s="68"/>
      <c r="AA281" s="68">
        <f t="shared" si="112"/>
        <v>0</v>
      </c>
      <c r="AB281" s="68"/>
      <c r="AC281" s="68"/>
      <c r="AD281" s="48"/>
      <c r="AE281" s="68"/>
      <c r="AF281" s="68"/>
      <c r="AG281" s="68"/>
      <c r="AH281" s="68"/>
      <c r="AI281" s="68"/>
      <c r="AJ281" s="68"/>
      <c r="AK281" s="68"/>
      <c r="AL281" s="68"/>
      <c r="AM281" s="68"/>
      <c r="AN281" s="68"/>
      <c r="AO281" s="68"/>
      <c r="AP281" s="68"/>
      <c r="AQ281" s="68"/>
      <c r="AR281" s="68"/>
      <c r="AS281" s="68"/>
      <c r="AT281" s="68"/>
      <c r="AU281" s="68"/>
      <c r="AV281" s="68"/>
      <c r="AW281" s="68"/>
      <c r="AX281" s="68"/>
      <c r="AY281" s="68"/>
      <c r="AZ281" s="68"/>
      <c r="BA281" s="68"/>
      <c r="BB281" s="68"/>
    </row>
    <row r="282" spans="1:54" ht="25.5">
      <c r="A282" s="72" t="s">
        <v>428</v>
      </c>
      <c r="B282" s="53" t="s">
        <v>582</v>
      </c>
      <c r="C282" s="66" t="s">
        <v>549</v>
      </c>
      <c r="D282" s="67"/>
      <c r="E282" s="47">
        <f t="shared" si="184"/>
        <v>0</v>
      </c>
      <c r="F282" s="68">
        <f t="shared" si="186"/>
        <v>0</v>
      </c>
      <c r="G282" s="68">
        <f t="shared" si="165"/>
        <v>0</v>
      </c>
      <c r="H282" s="68">
        <f t="shared" si="187"/>
        <v>0</v>
      </c>
      <c r="I282" s="68">
        <f t="shared" si="188"/>
        <v>0</v>
      </c>
      <c r="J282" s="68">
        <f t="shared" si="189"/>
        <v>0</v>
      </c>
      <c r="K282" s="68">
        <f t="shared" si="190"/>
        <v>0</v>
      </c>
      <c r="L282" s="68">
        <f t="shared" si="191"/>
        <v>0</v>
      </c>
      <c r="M282" s="68">
        <f t="shared" si="192"/>
        <v>0</v>
      </c>
      <c r="N282" s="68">
        <f t="shared" si="193"/>
        <v>0</v>
      </c>
      <c r="O282" s="68">
        <f t="shared" si="194"/>
        <v>0</v>
      </c>
      <c r="P282" s="68">
        <f t="shared" si="195"/>
        <v>0</v>
      </c>
      <c r="Q282" s="68">
        <f t="shared" si="196"/>
        <v>0</v>
      </c>
      <c r="R282" s="68"/>
      <c r="S282" s="68"/>
      <c r="T282" s="68">
        <f t="shared" si="129"/>
        <v>0</v>
      </c>
      <c r="U282" s="68">
        <f t="shared" si="200"/>
        <v>0</v>
      </c>
      <c r="V282" s="68">
        <f t="shared" si="197"/>
        <v>0</v>
      </c>
      <c r="W282" s="68">
        <f t="shared" si="198"/>
        <v>0</v>
      </c>
      <c r="X282" s="68">
        <f t="shared" si="199"/>
        <v>0</v>
      </c>
      <c r="Y282" s="68">
        <f t="shared" si="147"/>
        <v>0</v>
      </c>
      <c r="Z282" s="68"/>
      <c r="AA282" s="68">
        <f t="shared" si="112"/>
        <v>0</v>
      </c>
      <c r="AB282" s="68"/>
      <c r="AC282" s="68"/>
      <c r="AD282" s="48"/>
      <c r="AE282" s="68"/>
      <c r="AF282" s="68"/>
      <c r="AG282" s="68"/>
      <c r="AH282" s="68"/>
      <c r="AI282" s="68"/>
      <c r="AJ282" s="68"/>
      <c r="AK282" s="68"/>
      <c r="AL282" s="68"/>
      <c r="AM282" s="68"/>
      <c r="AN282" s="68"/>
      <c r="AO282" s="68"/>
      <c r="AP282" s="68"/>
      <c r="AQ282" s="68"/>
      <c r="AR282" s="68"/>
      <c r="AS282" s="68"/>
      <c r="AT282" s="68"/>
      <c r="AU282" s="68"/>
      <c r="AV282" s="68"/>
      <c r="AW282" s="68"/>
      <c r="AX282" s="68"/>
      <c r="AY282" s="68"/>
      <c r="AZ282" s="68"/>
      <c r="BA282" s="68"/>
      <c r="BB282" s="68"/>
    </row>
    <row r="283" spans="1:54" ht="38.25">
      <c r="A283" s="72" t="s">
        <v>434</v>
      </c>
      <c r="B283" s="53" t="s">
        <v>583</v>
      </c>
      <c r="C283" s="66" t="s">
        <v>542</v>
      </c>
      <c r="D283" s="67"/>
      <c r="E283" s="47">
        <f t="shared" si="184"/>
        <v>0</v>
      </c>
      <c r="F283" s="68">
        <f t="shared" si="186"/>
        <v>0</v>
      </c>
      <c r="G283" s="68">
        <f t="shared" si="165"/>
        <v>0</v>
      </c>
      <c r="H283" s="68">
        <f t="shared" si="187"/>
        <v>0</v>
      </c>
      <c r="I283" s="68">
        <f t="shared" si="188"/>
        <v>0</v>
      </c>
      <c r="J283" s="68">
        <f t="shared" si="189"/>
        <v>0</v>
      </c>
      <c r="K283" s="68">
        <f t="shared" si="190"/>
        <v>0</v>
      </c>
      <c r="L283" s="68">
        <f t="shared" si="191"/>
        <v>0</v>
      </c>
      <c r="M283" s="68">
        <f t="shared" si="192"/>
        <v>0</v>
      </c>
      <c r="N283" s="68">
        <f t="shared" si="193"/>
        <v>0</v>
      </c>
      <c r="O283" s="68">
        <f t="shared" si="194"/>
        <v>0</v>
      </c>
      <c r="P283" s="68">
        <f t="shared" si="195"/>
        <v>0</v>
      </c>
      <c r="Q283" s="68">
        <f t="shared" si="196"/>
        <v>0</v>
      </c>
      <c r="R283" s="68"/>
      <c r="S283" s="68"/>
      <c r="T283" s="68">
        <f t="shared" si="129"/>
        <v>0</v>
      </c>
      <c r="U283" s="68">
        <f t="shared" si="200"/>
        <v>0</v>
      </c>
      <c r="V283" s="68">
        <f t="shared" si="197"/>
        <v>0</v>
      </c>
      <c r="W283" s="68">
        <f t="shared" si="198"/>
        <v>0</v>
      </c>
      <c r="X283" s="68">
        <f t="shared" si="199"/>
        <v>0</v>
      </c>
      <c r="Y283" s="68">
        <f t="shared" si="147"/>
        <v>0</v>
      </c>
      <c r="Z283" s="68"/>
      <c r="AA283" s="68"/>
      <c r="AB283" s="68"/>
      <c r="AC283" s="68"/>
      <c r="AD283" s="48"/>
      <c r="AE283" s="68"/>
      <c r="AF283" s="68"/>
      <c r="AG283" s="68"/>
      <c r="AH283" s="68"/>
      <c r="AI283" s="68"/>
      <c r="AJ283" s="68"/>
      <c r="AK283" s="68"/>
      <c r="AL283" s="68"/>
      <c r="AM283" s="68"/>
      <c r="AN283" s="68"/>
      <c r="AO283" s="68"/>
      <c r="AP283" s="68"/>
      <c r="AQ283" s="68"/>
      <c r="AR283" s="68"/>
      <c r="AS283" s="68"/>
      <c r="AT283" s="68"/>
      <c r="AU283" s="68"/>
      <c r="AV283" s="68"/>
      <c r="AW283" s="68"/>
      <c r="AX283" s="68"/>
      <c r="AY283" s="68"/>
      <c r="AZ283" s="68"/>
      <c r="BA283" s="68"/>
      <c r="BB283" s="68"/>
    </row>
    <row r="284" spans="1:54" ht="38.25">
      <c r="A284" s="72" t="s">
        <v>438</v>
      </c>
      <c r="B284" s="53" t="s">
        <v>584</v>
      </c>
      <c r="C284" s="66" t="s">
        <v>538</v>
      </c>
      <c r="D284" s="67"/>
      <c r="E284" s="47">
        <f t="shared" si="184"/>
        <v>0</v>
      </c>
      <c r="F284" s="68">
        <f t="shared" si="186"/>
        <v>0</v>
      </c>
      <c r="G284" s="68">
        <f t="shared" si="165"/>
        <v>0</v>
      </c>
      <c r="H284" s="68">
        <f t="shared" si="187"/>
        <v>0</v>
      </c>
      <c r="I284" s="68">
        <f t="shared" si="188"/>
        <v>0</v>
      </c>
      <c r="J284" s="68">
        <f t="shared" si="189"/>
        <v>0</v>
      </c>
      <c r="K284" s="68">
        <f t="shared" si="190"/>
        <v>0</v>
      </c>
      <c r="L284" s="68">
        <f t="shared" si="191"/>
        <v>0</v>
      </c>
      <c r="M284" s="68">
        <f t="shared" si="192"/>
        <v>0</v>
      </c>
      <c r="N284" s="68">
        <f t="shared" si="193"/>
        <v>0</v>
      </c>
      <c r="O284" s="68">
        <f t="shared" si="194"/>
        <v>0</v>
      </c>
      <c r="P284" s="68">
        <f t="shared" si="195"/>
        <v>0</v>
      </c>
      <c r="Q284" s="68">
        <f t="shared" si="196"/>
        <v>0</v>
      </c>
      <c r="R284" s="68"/>
      <c r="S284" s="68"/>
      <c r="T284" s="68">
        <f t="shared" si="129"/>
        <v>0</v>
      </c>
      <c r="U284" s="68">
        <f t="shared" si="200"/>
        <v>0</v>
      </c>
      <c r="V284" s="68">
        <f t="shared" si="197"/>
        <v>0</v>
      </c>
      <c r="W284" s="68">
        <f t="shared" si="198"/>
        <v>0</v>
      </c>
      <c r="X284" s="68">
        <f t="shared" si="199"/>
        <v>0</v>
      </c>
      <c r="Y284" s="68">
        <f t="shared" si="147"/>
        <v>0</v>
      </c>
      <c r="Z284" s="68"/>
      <c r="AA284" s="68"/>
      <c r="AB284" s="68"/>
      <c r="AC284" s="68"/>
      <c r="AD284" s="48"/>
      <c r="AE284" s="68"/>
      <c r="AF284" s="68"/>
      <c r="AG284" s="68"/>
      <c r="AH284" s="68"/>
      <c r="AI284" s="68"/>
      <c r="AJ284" s="68"/>
      <c r="AK284" s="68"/>
      <c r="AL284" s="68"/>
      <c r="AM284" s="68"/>
      <c r="AN284" s="68"/>
      <c r="AO284" s="68"/>
      <c r="AP284" s="68"/>
      <c r="AQ284" s="68"/>
      <c r="AR284" s="68"/>
      <c r="AS284" s="68"/>
      <c r="AT284" s="68"/>
      <c r="AU284" s="68"/>
      <c r="AV284" s="68"/>
      <c r="AW284" s="68"/>
      <c r="AX284" s="68"/>
      <c r="AY284" s="68"/>
      <c r="AZ284" s="68"/>
      <c r="BA284" s="68"/>
      <c r="BB284" s="68"/>
    </row>
    <row r="285" spans="1:54">
      <c r="A285" s="72" t="s">
        <v>442</v>
      </c>
      <c r="B285" s="53" t="s">
        <v>585</v>
      </c>
      <c r="C285" s="66" t="s">
        <v>538</v>
      </c>
      <c r="D285" s="67"/>
      <c r="E285" s="47">
        <f t="shared" si="184"/>
        <v>0</v>
      </c>
      <c r="F285" s="68">
        <f t="shared" si="186"/>
        <v>0</v>
      </c>
      <c r="G285" s="68">
        <f t="shared" si="165"/>
        <v>0</v>
      </c>
      <c r="H285" s="68">
        <f t="shared" si="187"/>
        <v>0</v>
      </c>
      <c r="I285" s="68">
        <f t="shared" si="188"/>
        <v>0</v>
      </c>
      <c r="J285" s="68">
        <f t="shared" si="189"/>
        <v>0</v>
      </c>
      <c r="K285" s="68">
        <f t="shared" si="190"/>
        <v>0</v>
      </c>
      <c r="L285" s="68">
        <f t="shared" si="191"/>
        <v>0</v>
      </c>
      <c r="M285" s="68">
        <f t="shared" si="192"/>
        <v>0</v>
      </c>
      <c r="N285" s="68">
        <f t="shared" si="193"/>
        <v>0</v>
      </c>
      <c r="O285" s="68">
        <f t="shared" si="194"/>
        <v>0</v>
      </c>
      <c r="P285" s="68">
        <f t="shared" si="195"/>
        <v>0</v>
      </c>
      <c r="Q285" s="68">
        <f t="shared" si="196"/>
        <v>0</v>
      </c>
      <c r="R285" s="68"/>
      <c r="S285" s="68"/>
      <c r="T285" s="68">
        <f t="shared" si="129"/>
        <v>0</v>
      </c>
      <c r="U285" s="68">
        <f t="shared" si="200"/>
        <v>0</v>
      </c>
      <c r="V285" s="68">
        <f t="shared" si="197"/>
        <v>0</v>
      </c>
      <c r="W285" s="68">
        <f t="shared" si="198"/>
        <v>0</v>
      </c>
      <c r="X285" s="68">
        <f t="shared" si="199"/>
        <v>0</v>
      </c>
      <c r="Y285" s="68">
        <f t="shared" si="147"/>
        <v>0</v>
      </c>
      <c r="Z285" s="68"/>
      <c r="AA285" s="68"/>
      <c r="AB285" s="68"/>
      <c r="AC285" s="68"/>
      <c r="AD285" s="48"/>
      <c r="AE285" s="68"/>
      <c r="AF285" s="68"/>
      <c r="AG285" s="68"/>
      <c r="AH285" s="68"/>
      <c r="AI285" s="68"/>
      <c r="AJ285" s="68"/>
      <c r="AK285" s="68"/>
      <c r="AL285" s="68"/>
      <c r="AM285" s="68"/>
      <c r="AN285" s="68"/>
      <c r="AO285" s="68"/>
      <c r="AP285" s="68"/>
      <c r="AQ285" s="68"/>
      <c r="AR285" s="68"/>
      <c r="AS285" s="68"/>
      <c r="AT285" s="68"/>
      <c r="AU285" s="68"/>
      <c r="AV285" s="68"/>
      <c r="AW285" s="68"/>
      <c r="AX285" s="68"/>
      <c r="AY285" s="68"/>
      <c r="AZ285" s="68"/>
      <c r="BA285" s="68"/>
      <c r="BB285" s="68"/>
    </row>
    <row r="286" spans="1:54" ht="25.5">
      <c r="A286" s="72" t="s">
        <v>443</v>
      </c>
      <c r="B286" s="53" t="s">
        <v>586</v>
      </c>
      <c r="C286" s="66" t="s">
        <v>543</v>
      </c>
      <c r="D286" s="67"/>
      <c r="E286" s="47">
        <f t="shared" si="184"/>
        <v>0</v>
      </c>
      <c r="F286" s="68">
        <f t="shared" si="186"/>
        <v>0</v>
      </c>
      <c r="G286" s="68">
        <f t="shared" si="165"/>
        <v>0</v>
      </c>
      <c r="H286" s="68">
        <f t="shared" si="187"/>
        <v>0</v>
      </c>
      <c r="I286" s="68">
        <f t="shared" si="188"/>
        <v>0</v>
      </c>
      <c r="J286" s="68">
        <f t="shared" si="189"/>
        <v>0</v>
      </c>
      <c r="K286" s="68">
        <f t="shared" si="190"/>
        <v>0</v>
      </c>
      <c r="L286" s="68">
        <f t="shared" si="191"/>
        <v>0</v>
      </c>
      <c r="M286" s="68">
        <f t="shared" si="192"/>
        <v>0</v>
      </c>
      <c r="N286" s="68">
        <f t="shared" si="193"/>
        <v>0</v>
      </c>
      <c r="O286" s="68">
        <f t="shared" si="194"/>
        <v>0</v>
      </c>
      <c r="P286" s="68">
        <f t="shared" si="195"/>
        <v>0</v>
      </c>
      <c r="Q286" s="68">
        <f t="shared" si="196"/>
        <v>0</v>
      </c>
      <c r="R286" s="68"/>
      <c r="S286" s="68"/>
      <c r="T286" s="68">
        <f t="shared" si="129"/>
        <v>0</v>
      </c>
      <c r="U286" s="68">
        <f t="shared" si="200"/>
        <v>0</v>
      </c>
      <c r="V286" s="68">
        <f t="shared" si="197"/>
        <v>0</v>
      </c>
      <c r="W286" s="68">
        <f t="shared" si="198"/>
        <v>0</v>
      </c>
      <c r="X286" s="68">
        <f t="shared" si="199"/>
        <v>0</v>
      </c>
      <c r="Y286" s="68">
        <f t="shared" si="147"/>
        <v>0</v>
      </c>
      <c r="Z286" s="68"/>
      <c r="AA286" s="68"/>
      <c r="AB286" s="68"/>
      <c r="AC286" s="68"/>
      <c r="AD286" s="48"/>
      <c r="AE286" s="68"/>
      <c r="AF286" s="68"/>
      <c r="AG286" s="68"/>
      <c r="AH286" s="68"/>
      <c r="AI286" s="68"/>
      <c r="AJ286" s="68"/>
      <c r="AK286" s="68"/>
      <c r="AL286" s="68"/>
      <c r="AM286" s="68"/>
      <c r="AN286" s="68"/>
      <c r="AO286" s="68"/>
      <c r="AP286" s="68"/>
      <c r="AQ286" s="68"/>
      <c r="AR286" s="68"/>
      <c r="AS286" s="68"/>
      <c r="AT286" s="68"/>
      <c r="AU286" s="68"/>
      <c r="AV286" s="68"/>
      <c r="AW286" s="68"/>
      <c r="AX286" s="68"/>
      <c r="AY286" s="68"/>
      <c r="AZ286" s="68"/>
      <c r="BA286" s="68"/>
      <c r="BB286" s="68"/>
    </row>
    <row r="287" spans="1:54" ht="25.5">
      <c r="A287" s="72" t="s">
        <v>444</v>
      </c>
      <c r="B287" s="53" t="s">
        <v>587</v>
      </c>
      <c r="C287" s="66" t="s">
        <v>542</v>
      </c>
      <c r="D287" s="67"/>
      <c r="E287" s="47">
        <f t="shared" si="184"/>
        <v>0</v>
      </c>
      <c r="F287" s="68">
        <f t="shared" si="186"/>
        <v>0</v>
      </c>
      <c r="G287" s="68">
        <f t="shared" si="165"/>
        <v>0</v>
      </c>
      <c r="H287" s="68">
        <f t="shared" si="187"/>
        <v>0</v>
      </c>
      <c r="I287" s="68">
        <f t="shared" si="188"/>
        <v>0</v>
      </c>
      <c r="J287" s="68">
        <f t="shared" si="189"/>
        <v>0</v>
      </c>
      <c r="K287" s="68">
        <f t="shared" si="190"/>
        <v>0</v>
      </c>
      <c r="L287" s="68">
        <f t="shared" si="191"/>
        <v>0</v>
      </c>
      <c r="M287" s="68">
        <f t="shared" si="192"/>
        <v>0</v>
      </c>
      <c r="N287" s="68">
        <f t="shared" si="193"/>
        <v>0</v>
      </c>
      <c r="O287" s="68">
        <f t="shared" si="194"/>
        <v>0</v>
      </c>
      <c r="P287" s="68">
        <f t="shared" si="195"/>
        <v>0</v>
      </c>
      <c r="Q287" s="68">
        <f t="shared" si="196"/>
        <v>0</v>
      </c>
      <c r="R287" s="68"/>
      <c r="S287" s="68"/>
      <c r="T287" s="68">
        <f t="shared" si="129"/>
        <v>0</v>
      </c>
      <c r="U287" s="68">
        <f t="shared" si="200"/>
        <v>0</v>
      </c>
      <c r="V287" s="68">
        <f t="shared" si="197"/>
        <v>0</v>
      </c>
      <c r="W287" s="68">
        <f t="shared" si="198"/>
        <v>0</v>
      </c>
      <c r="X287" s="68">
        <f t="shared" si="199"/>
        <v>0</v>
      </c>
      <c r="Y287" s="68">
        <f t="shared" si="147"/>
        <v>0</v>
      </c>
      <c r="Z287" s="68"/>
      <c r="AA287" s="68">
        <f t="shared" si="112"/>
        <v>0</v>
      </c>
      <c r="AB287" s="68"/>
      <c r="AC287" s="68"/>
      <c r="AD287" s="48"/>
      <c r="AE287" s="68"/>
      <c r="AF287" s="68"/>
      <c r="AG287" s="68"/>
      <c r="AH287" s="68"/>
      <c r="AI287" s="68"/>
      <c r="AJ287" s="68"/>
      <c r="AK287" s="68"/>
      <c r="AL287" s="68"/>
      <c r="AM287" s="68"/>
      <c r="AN287" s="68"/>
      <c r="AO287" s="68"/>
      <c r="AP287" s="68"/>
      <c r="AQ287" s="68"/>
      <c r="AR287" s="68"/>
      <c r="AS287" s="68"/>
      <c r="AT287" s="68"/>
      <c r="AU287" s="68"/>
      <c r="AV287" s="68"/>
      <c r="AW287" s="68"/>
      <c r="AX287" s="68"/>
      <c r="AY287" s="68"/>
      <c r="AZ287" s="68"/>
      <c r="BA287" s="68"/>
      <c r="BB287" s="68"/>
    </row>
    <row r="288" spans="1:54" ht="89.25">
      <c r="A288" s="72" t="s">
        <v>445</v>
      </c>
      <c r="B288" s="88" t="s">
        <v>588</v>
      </c>
      <c r="C288" s="66" t="s">
        <v>549</v>
      </c>
      <c r="D288" s="67"/>
      <c r="E288" s="47">
        <f t="shared" si="184"/>
        <v>0</v>
      </c>
      <c r="F288" s="68">
        <f t="shared" si="186"/>
        <v>0</v>
      </c>
      <c r="G288" s="68">
        <f t="shared" si="165"/>
        <v>0</v>
      </c>
      <c r="H288" s="68">
        <f t="shared" si="187"/>
        <v>0</v>
      </c>
      <c r="I288" s="68">
        <f t="shared" si="188"/>
        <v>0</v>
      </c>
      <c r="J288" s="68">
        <f t="shared" si="189"/>
        <v>0</v>
      </c>
      <c r="K288" s="68">
        <f t="shared" si="190"/>
        <v>0</v>
      </c>
      <c r="L288" s="68">
        <f t="shared" si="191"/>
        <v>0</v>
      </c>
      <c r="M288" s="68">
        <f t="shared" si="192"/>
        <v>0</v>
      </c>
      <c r="N288" s="68">
        <f t="shared" si="193"/>
        <v>0</v>
      </c>
      <c r="O288" s="68">
        <f t="shared" si="194"/>
        <v>0</v>
      </c>
      <c r="P288" s="68">
        <f t="shared" si="195"/>
        <v>0</v>
      </c>
      <c r="Q288" s="68">
        <f t="shared" si="196"/>
        <v>0</v>
      </c>
      <c r="R288" s="68"/>
      <c r="S288" s="68"/>
      <c r="T288" s="68">
        <f t="shared" si="129"/>
        <v>0</v>
      </c>
      <c r="U288" s="68">
        <f t="shared" si="200"/>
        <v>0</v>
      </c>
      <c r="V288" s="68">
        <f t="shared" si="197"/>
        <v>0</v>
      </c>
      <c r="W288" s="68">
        <f t="shared" si="198"/>
        <v>0</v>
      </c>
      <c r="X288" s="68">
        <f t="shared" si="199"/>
        <v>0</v>
      </c>
      <c r="Y288" s="68">
        <f t="shared" si="147"/>
        <v>0</v>
      </c>
      <c r="Z288" s="68"/>
      <c r="AA288" s="68">
        <f t="shared" si="112"/>
        <v>0</v>
      </c>
      <c r="AB288" s="68"/>
      <c r="AC288" s="68"/>
      <c r="AD288" s="48"/>
      <c r="AE288" s="68"/>
      <c r="AF288" s="68"/>
      <c r="AG288" s="68"/>
      <c r="AH288" s="68"/>
      <c r="AI288" s="68"/>
      <c r="AJ288" s="68"/>
      <c r="AK288" s="68"/>
      <c r="AL288" s="68"/>
      <c r="AM288" s="68"/>
      <c r="AN288" s="68"/>
      <c r="AO288" s="68"/>
      <c r="AP288" s="68"/>
      <c r="AQ288" s="68"/>
      <c r="AR288" s="68"/>
      <c r="AS288" s="68"/>
      <c r="AT288" s="68"/>
      <c r="AU288" s="68"/>
      <c r="AV288" s="68"/>
      <c r="AW288" s="68"/>
      <c r="AX288" s="68"/>
      <c r="AY288" s="68"/>
      <c r="AZ288" s="68"/>
      <c r="BA288" s="68"/>
      <c r="BB288" s="68"/>
    </row>
    <row r="289" spans="1:54" ht="12.75" hidden="1" customHeight="1" outlineLevel="1">
      <c r="A289" s="72"/>
      <c r="B289" s="53"/>
      <c r="C289" s="66"/>
      <c r="D289" s="67"/>
      <c r="E289" s="47">
        <f t="shared" si="184"/>
        <v>0</v>
      </c>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48"/>
      <c r="AE289" s="68"/>
      <c r="AF289" s="68"/>
      <c r="AG289" s="68"/>
      <c r="AH289" s="68"/>
      <c r="AI289" s="68"/>
      <c r="AJ289" s="68"/>
      <c r="AK289" s="68"/>
      <c r="AL289" s="68"/>
      <c r="AM289" s="68"/>
      <c r="AN289" s="68"/>
      <c r="AO289" s="68"/>
      <c r="AP289" s="68"/>
      <c r="AQ289" s="68"/>
      <c r="AR289" s="68"/>
      <c r="AS289" s="68"/>
      <c r="AT289" s="68"/>
      <c r="AU289" s="68"/>
      <c r="AV289" s="68"/>
      <c r="AW289" s="68"/>
      <c r="AX289" s="68"/>
      <c r="AY289" s="68"/>
      <c r="AZ289" s="68"/>
      <c r="BA289" s="68"/>
      <c r="BB289" s="68"/>
    </row>
    <row r="290" spans="1:54" ht="12.75" hidden="1" customHeight="1" outlineLevel="1">
      <c r="A290" s="72"/>
      <c r="B290" s="71"/>
      <c r="C290" s="66"/>
      <c r="D290" s="67"/>
      <c r="E290" s="47">
        <f t="shared" si="184"/>
        <v>0</v>
      </c>
      <c r="F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48"/>
      <c r="AE290" s="68"/>
      <c r="AF290" s="68"/>
      <c r="AG290" s="68"/>
      <c r="AH290" s="68"/>
      <c r="AI290" s="68"/>
      <c r="AJ290" s="68"/>
      <c r="AK290" s="68"/>
      <c r="AL290" s="68"/>
      <c r="AM290" s="68"/>
      <c r="AN290" s="68"/>
      <c r="AO290" s="68"/>
      <c r="AP290" s="68"/>
      <c r="AQ290" s="68"/>
      <c r="AR290" s="68"/>
      <c r="AS290" s="68"/>
      <c r="AT290" s="68"/>
      <c r="AU290" s="68"/>
      <c r="AV290" s="68"/>
      <c r="AW290" s="68"/>
      <c r="AX290" s="68"/>
      <c r="AY290" s="68"/>
      <c r="AZ290" s="68"/>
      <c r="BA290" s="68"/>
      <c r="BB290" s="68"/>
    </row>
    <row r="291" spans="1:54" s="82" customFormat="1" ht="20.25" customHeight="1" collapsed="1">
      <c r="A291" s="89" t="s">
        <v>162</v>
      </c>
      <c r="B291" s="83" t="s">
        <v>589</v>
      </c>
      <c r="C291" s="81"/>
      <c r="D291" s="62"/>
      <c r="E291" s="47">
        <f t="shared" si="184"/>
        <v>0</v>
      </c>
      <c r="F291" s="63">
        <f t="shared" si="186"/>
        <v>0</v>
      </c>
      <c r="G291" s="63">
        <f t="shared" si="165"/>
        <v>0</v>
      </c>
      <c r="H291" s="63">
        <f>H292+H293+H294+H295</f>
        <v>0</v>
      </c>
      <c r="I291" s="63">
        <f t="shared" ref="I291:Y291" si="201">I292+I293+I294+I295</f>
        <v>0</v>
      </c>
      <c r="J291" s="63">
        <f t="shared" si="201"/>
        <v>0</v>
      </c>
      <c r="K291" s="63">
        <f t="shared" si="201"/>
        <v>0</v>
      </c>
      <c r="L291" s="63">
        <f>L292+L293+L294+L295</f>
        <v>0</v>
      </c>
      <c r="M291" s="63">
        <f t="shared" si="201"/>
        <v>0</v>
      </c>
      <c r="N291" s="63">
        <f t="shared" si="201"/>
        <v>0</v>
      </c>
      <c r="O291" s="63">
        <f t="shared" si="201"/>
        <v>0</v>
      </c>
      <c r="P291" s="63">
        <f t="shared" si="201"/>
        <v>0</v>
      </c>
      <c r="Q291" s="63">
        <f t="shared" si="201"/>
        <v>0</v>
      </c>
      <c r="R291" s="63">
        <f t="shared" si="201"/>
        <v>0</v>
      </c>
      <c r="S291" s="63">
        <f t="shared" si="201"/>
        <v>0</v>
      </c>
      <c r="T291" s="63">
        <f t="shared" si="201"/>
        <v>0</v>
      </c>
      <c r="U291" s="63">
        <f t="shared" si="201"/>
        <v>0</v>
      </c>
      <c r="V291" s="63">
        <f t="shared" si="201"/>
        <v>0</v>
      </c>
      <c r="W291" s="63">
        <f t="shared" si="201"/>
        <v>0</v>
      </c>
      <c r="X291" s="63">
        <f t="shared" si="201"/>
        <v>0</v>
      </c>
      <c r="Y291" s="63">
        <f t="shared" si="201"/>
        <v>0</v>
      </c>
      <c r="Z291" s="63"/>
      <c r="AA291" s="63">
        <f t="shared" si="112"/>
        <v>0</v>
      </c>
      <c r="AB291" s="63"/>
      <c r="AC291" s="63"/>
      <c r="AD291" s="48"/>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row>
    <row r="292" spans="1:54" s="82" customFormat="1" ht="20.25" customHeight="1" outlineLevel="1">
      <c r="A292" s="89"/>
      <c r="B292" s="83" t="s">
        <v>590</v>
      </c>
      <c r="C292" s="81" t="s">
        <v>540</v>
      </c>
      <c r="D292" s="62"/>
      <c r="E292" s="47">
        <f t="shared" si="184"/>
        <v>0</v>
      </c>
      <c r="F292" s="63">
        <f t="shared" si="186"/>
        <v>0</v>
      </c>
      <c r="G292" s="63">
        <f t="shared" si="165"/>
        <v>0</v>
      </c>
      <c r="H292" s="63">
        <f>IF($C292="864",$D292,)</f>
        <v>0</v>
      </c>
      <c r="I292" s="63">
        <f t="shared" si="188"/>
        <v>0</v>
      </c>
      <c r="J292" s="63">
        <f t="shared" si="189"/>
        <v>0</v>
      </c>
      <c r="K292" s="63">
        <f t="shared" si="190"/>
        <v>0</v>
      </c>
      <c r="L292" s="63">
        <f t="shared" si="191"/>
        <v>0</v>
      </c>
      <c r="M292" s="63">
        <f t="shared" si="192"/>
        <v>0</v>
      </c>
      <c r="N292" s="63">
        <f t="shared" si="193"/>
        <v>0</v>
      </c>
      <c r="O292" s="63">
        <f t="shared" si="194"/>
        <v>0</v>
      </c>
      <c r="P292" s="63">
        <f t="shared" si="195"/>
        <v>0</v>
      </c>
      <c r="Q292" s="63">
        <f t="shared" si="196"/>
        <v>0</v>
      </c>
      <c r="R292" s="63"/>
      <c r="S292" s="63"/>
      <c r="T292" s="63">
        <f t="shared" ref="T292:T295" si="202">Q292-R292-S292</f>
        <v>0</v>
      </c>
      <c r="U292" s="63">
        <f t="shared" si="200"/>
        <v>0</v>
      </c>
      <c r="V292" s="63">
        <f t="shared" si="197"/>
        <v>0</v>
      </c>
      <c r="W292" s="63">
        <f t="shared" si="198"/>
        <v>0</v>
      </c>
      <c r="X292" s="63">
        <f t="shared" si="199"/>
        <v>0</v>
      </c>
      <c r="Y292" s="63">
        <f t="shared" si="147"/>
        <v>0</v>
      </c>
      <c r="Z292" s="63"/>
      <c r="AA292" s="63"/>
      <c r="AB292" s="63"/>
      <c r="AC292" s="63"/>
      <c r="AD292" s="48"/>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row>
    <row r="293" spans="1:54" s="82" customFormat="1" ht="20.25" customHeight="1" outlineLevel="1">
      <c r="A293" s="89"/>
      <c r="B293" s="83" t="s">
        <v>591</v>
      </c>
      <c r="C293" s="81" t="s">
        <v>545</v>
      </c>
      <c r="D293" s="62"/>
      <c r="E293" s="47">
        <f t="shared" si="184"/>
        <v>0</v>
      </c>
      <c r="F293" s="63">
        <f t="shared" si="186"/>
        <v>0</v>
      </c>
      <c r="G293" s="63">
        <f t="shared" si="165"/>
        <v>0</v>
      </c>
      <c r="H293" s="63">
        <f t="shared" si="187"/>
        <v>0</v>
      </c>
      <c r="I293" s="63">
        <f t="shared" si="188"/>
        <v>0</v>
      </c>
      <c r="J293" s="63">
        <f t="shared" si="189"/>
        <v>0</v>
      </c>
      <c r="K293" s="63">
        <f t="shared" si="190"/>
        <v>0</v>
      </c>
      <c r="L293" s="63">
        <f t="shared" si="191"/>
        <v>0</v>
      </c>
      <c r="M293" s="63">
        <f t="shared" si="192"/>
        <v>0</v>
      </c>
      <c r="N293" s="63">
        <f t="shared" si="193"/>
        <v>0</v>
      </c>
      <c r="O293" s="63">
        <f t="shared" si="194"/>
        <v>0</v>
      </c>
      <c r="P293" s="63">
        <f t="shared" si="195"/>
        <v>0</v>
      </c>
      <c r="Q293" s="63">
        <f t="shared" si="196"/>
        <v>0</v>
      </c>
      <c r="R293" s="63"/>
      <c r="S293" s="63"/>
      <c r="T293" s="63">
        <f t="shared" si="202"/>
        <v>0</v>
      </c>
      <c r="U293" s="63">
        <f t="shared" si="200"/>
        <v>0</v>
      </c>
      <c r="V293" s="63">
        <f t="shared" si="197"/>
        <v>0</v>
      </c>
      <c r="W293" s="63">
        <f t="shared" si="198"/>
        <v>0</v>
      </c>
      <c r="X293" s="63">
        <f t="shared" si="199"/>
        <v>0</v>
      </c>
      <c r="Y293" s="63">
        <f t="shared" si="147"/>
        <v>0</v>
      </c>
      <c r="Z293" s="63"/>
      <c r="AA293" s="63"/>
      <c r="AB293" s="63"/>
      <c r="AC293" s="63"/>
      <c r="AD293" s="48"/>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row>
    <row r="294" spans="1:54" s="82" customFormat="1" ht="20.25" customHeight="1" outlineLevel="1">
      <c r="A294" s="89"/>
      <c r="B294" s="90" t="s">
        <v>592</v>
      </c>
      <c r="C294" s="81" t="s">
        <v>541</v>
      </c>
      <c r="D294" s="62"/>
      <c r="E294" s="47">
        <f t="shared" si="184"/>
        <v>0</v>
      </c>
      <c r="F294" s="63">
        <f t="shared" si="186"/>
        <v>0</v>
      </c>
      <c r="G294" s="63">
        <f t="shared" si="165"/>
        <v>0</v>
      </c>
      <c r="H294" s="63">
        <f t="shared" si="187"/>
        <v>0</v>
      </c>
      <c r="I294" s="63">
        <f t="shared" si="188"/>
        <v>0</v>
      </c>
      <c r="J294" s="63">
        <f t="shared" si="189"/>
        <v>0</v>
      </c>
      <c r="K294" s="63">
        <f t="shared" si="190"/>
        <v>0</v>
      </c>
      <c r="L294" s="63">
        <f t="shared" si="191"/>
        <v>0</v>
      </c>
      <c r="M294" s="63">
        <f t="shared" si="192"/>
        <v>0</v>
      </c>
      <c r="N294" s="63">
        <f t="shared" si="193"/>
        <v>0</v>
      </c>
      <c r="O294" s="63">
        <f t="shared" si="194"/>
        <v>0</v>
      </c>
      <c r="P294" s="63">
        <f t="shared" si="195"/>
        <v>0</v>
      </c>
      <c r="Q294" s="63">
        <f t="shared" si="196"/>
        <v>0</v>
      </c>
      <c r="R294" s="63"/>
      <c r="S294" s="63"/>
      <c r="T294" s="63">
        <f t="shared" si="202"/>
        <v>0</v>
      </c>
      <c r="U294" s="63">
        <f t="shared" si="200"/>
        <v>0</v>
      </c>
      <c r="V294" s="63">
        <f t="shared" si="197"/>
        <v>0</v>
      </c>
      <c r="W294" s="63">
        <f t="shared" si="198"/>
        <v>0</v>
      </c>
      <c r="X294" s="63">
        <f t="shared" si="199"/>
        <v>0</v>
      </c>
      <c r="Y294" s="63">
        <f t="shared" si="147"/>
        <v>0</v>
      </c>
      <c r="Z294" s="63"/>
      <c r="AA294" s="63"/>
      <c r="AB294" s="63"/>
      <c r="AC294" s="63"/>
      <c r="AD294" s="48"/>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row>
    <row r="295" spans="1:54" s="82" customFormat="1" ht="20.25" customHeight="1" outlineLevel="1">
      <c r="A295" s="89"/>
      <c r="B295" s="90" t="s">
        <v>593</v>
      </c>
      <c r="C295" s="81" t="s">
        <v>549</v>
      </c>
      <c r="D295" s="62">
        <f>D291-D292-D293-D294</f>
        <v>0</v>
      </c>
      <c r="E295" s="47">
        <f t="shared" si="184"/>
        <v>0</v>
      </c>
      <c r="F295" s="63">
        <f t="shared" si="186"/>
        <v>0</v>
      </c>
      <c r="G295" s="63">
        <f t="shared" si="165"/>
        <v>0</v>
      </c>
      <c r="H295" s="63">
        <f t="shared" si="187"/>
        <v>0</v>
      </c>
      <c r="I295" s="63">
        <f t="shared" si="188"/>
        <v>0</v>
      </c>
      <c r="J295" s="63">
        <f t="shared" si="189"/>
        <v>0</v>
      </c>
      <c r="K295" s="63">
        <f t="shared" si="190"/>
        <v>0</v>
      </c>
      <c r="L295" s="63">
        <f t="shared" si="191"/>
        <v>0</v>
      </c>
      <c r="M295" s="63">
        <f t="shared" si="192"/>
        <v>0</v>
      </c>
      <c r="N295" s="63">
        <f t="shared" si="193"/>
        <v>0</v>
      </c>
      <c r="O295" s="63">
        <f t="shared" si="194"/>
        <v>0</v>
      </c>
      <c r="P295" s="63">
        <f t="shared" si="195"/>
        <v>0</v>
      </c>
      <c r="Q295" s="63">
        <f t="shared" si="196"/>
        <v>0</v>
      </c>
      <c r="R295" s="63"/>
      <c r="S295" s="63"/>
      <c r="T295" s="63">
        <f t="shared" si="202"/>
        <v>0</v>
      </c>
      <c r="U295" s="63">
        <f t="shared" si="200"/>
        <v>0</v>
      </c>
      <c r="V295" s="63">
        <f t="shared" si="197"/>
        <v>0</v>
      </c>
      <c r="W295" s="63">
        <f t="shared" si="198"/>
        <v>0</v>
      </c>
      <c r="X295" s="63">
        <f t="shared" si="199"/>
        <v>0</v>
      </c>
      <c r="Y295" s="63">
        <f t="shared" si="147"/>
        <v>0</v>
      </c>
      <c r="Z295" s="63"/>
      <c r="AA295" s="63"/>
      <c r="AB295" s="63"/>
      <c r="AC295" s="63"/>
      <c r="AD295" s="48"/>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row>
    <row r="296" spans="1:54" s="82" customFormat="1" ht="12.75" customHeight="1" outlineLevel="1">
      <c r="A296" s="80"/>
      <c r="B296" s="83"/>
      <c r="C296" s="81"/>
      <c r="D296" s="62"/>
      <c r="E296" s="47">
        <f t="shared" si="184"/>
        <v>0</v>
      </c>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48"/>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row>
    <row r="297" spans="1:54" s="82" customFormat="1">
      <c r="A297" s="80" t="s">
        <v>594</v>
      </c>
      <c r="B297" s="83" t="s">
        <v>595</v>
      </c>
      <c r="C297" s="81"/>
      <c r="D297" s="62"/>
      <c r="E297" s="47">
        <f t="shared" si="184"/>
        <v>0</v>
      </c>
      <c r="F297" s="63">
        <f t="shared" si="186"/>
        <v>0</v>
      </c>
      <c r="G297" s="63">
        <f t="shared" ref="G297" si="203">H297+I297+J297+K297+L297+M297+N297+O297+P297+Q297+U297+V297+W297+X297</f>
        <v>0</v>
      </c>
      <c r="H297" s="63">
        <f t="shared" si="187"/>
        <v>0</v>
      </c>
      <c r="I297" s="63">
        <f t="shared" si="188"/>
        <v>0</v>
      </c>
      <c r="J297" s="63">
        <f t="shared" si="189"/>
        <v>0</v>
      </c>
      <c r="K297" s="63">
        <f t="shared" si="190"/>
        <v>0</v>
      </c>
      <c r="L297" s="63">
        <f t="shared" si="191"/>
        <v>0</v>
      </c>
      <c r="M297" s="63">
        <f t="shared" si="192"/>
        <v>0</v>
      </c>
      <c r="N297" s="63">
        <f t="shared" si="193"/>
        <v>0</v>
      </c>
      <c r="O297" s="63">
        <f t="shared" si="194"/>
        <v>0</v>
      </c>
      <c r="P297" s="63">
        <f t="shared" si="195"/>
        <v>0</v>
      </c>
      <c r="Q297" s="63">
        <f t="shared" si="196"/>
        <v>0</v>
      </c>
      <c r="R297" s="63"/>
      <c r="S297" s="63"/>
      <c r="T297" s="63">
        <f t="shared" si="129"/>
        <v>0</v>
      </c>
      <c r="U297" s="63">
        <f t="shared" si="200"/>
        <v>0</v>
      </c>
      <c r="V297" s="63">
        <f t="shared" si="197"/>
        <v>0</v>
      </c>
      <c r="W297" s="63">
        <f t="shared" si="198"/>
        <v>0</v>
      </c>
      <c r="X297" s="63">
        <f t="shared" si="199"/>
        <v>0</v>
      </c>
      <c r="Y297" s="63"/>
      <c r="Z297" s="63"/>
      <c r="AA297" s="63">
        <f t="shared" ref="AA297:AA309" si="204">AB297+AC297</f>
        <v>0</v>
      </c>
      <c r="AB297" s="63"/>
      <c r="AC297" s="63"/>
      <c r="AD297" s="48"/>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row>
    <row r="298" spans="1:54" s="82" customFormat="1">
      <c r="A298" s="80" t="s">
        <v>596</v>
      </c>
      <c r="B298" s="83" t="s">
        <v>597</v>
      </c>
      <c r="C298" s="81" t="s">
        <v>598</v>
      </c>
      <c r="D298" s="62"/>
      <c r="E298" s="47">
        <f t="shared" si="184"/>
        <v>0</v>
      </c>
      <c r="F298" s="63">
        <f t="shared" si="186"/>
        <v>0</v>
      </c>
      <c r="G298" s="63">
        <f t="shared" si="165"/>
        <v>0</v>
      </c>
      <c r="H298" s="63">
        <f t="shared" si="187"/>
        <v>0</v>
      </c>
      <c r="I298" s="63">
        <f t="shared" si="188"/>
        <v>0</v>
      </c>
      <c r="J298" s="63">
        <f t="shared" si="189"/>
        <v>0</v>
      </c>
      <c r="K298" s="63">
        <f t="shared" si="190"/>
        <v>0</v>
      </c>
      <c r="L298" s="63">
        <f t="shared" si="191"/>
        <v>0</v>
      </c>
      <c r="M298" s="63">
        <f t="shared" si="192"/>
        <v>0</v>
      </c>
      <c r="N298" s="63">
        <f t="shared" si="193"/>
        <v>0</v>
      </c>
      <c r="O298" s="63">
        <f t="shared" si="194"/>
        <v>0</v>
      </c>
      <c r="P298" s="63">
        <f t="shared" si="195"/>
        <v>0</v>
      </c>
      <c r="Q298" s="63">
        <f t="shared" si="196"/>
        <v>0</v>
      </c>
      <c r="R298" s="63"/>
      <c r="S298" s="63"/>
      <c r="T298" s="63">
        <f t="shared" si="129"/>
        <v>0</v>
      </c>
      <c r="U298" s="63">
        <f t="shared" si="200"/>
        <v>0</v>
      </c>
      <c r="V298" s="63">
        <f t="shared" si="197"/>
        <v>0</v>
      </c>
      <c r="W298" s="63">
        <f t="shared" si="198"/>
        <v>0</v>
      </c>
      <c r="X298" s="63">
        <f t="shared" si="199"/>
        <v>0</v>
      </c>
      <c r="Y298" s="63">
        <f t="shared" si="147"/>
        <v>0</v>
      </c>
      <c r="Z298" s="63"/>
      <c r="AA298" s="63">
        <f t="shared" si="204"/>
        <v>0</v>
      </c>
      <c r="AB298" s="63"/>
      <c r="AC298" s="63"/>
      <c r="AD298" s="48"/>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row>
    <row r="299" spans="1:54" s="82" customFormat="1">
      <c r="A299" s="80" t="s">
        <v>599</v>
      </c>
      <c r="B299" s="83" t="s">
        <v>600</v>
      </c>
      <c r="C299" s="81" t="s">
        <v>601</v>
      </c>
      <c r="D299" s="62"/>
      <c r="E299" s="47">
        <f t="shared" si="184"/>
        <v>0</v>
      </c>
      <c r="F299" s="63">
        <f t="shared" si="186"/>
        <v>0</v>
      </c>
      <c r="G299" s="63">
        <f t="shared" si="165"/>
        <v>0</v>
      </c>
      <c r="H299" s="63">
        <f t="shared" si="187"/>
        <v>0</v>
      </c>
      <c r="I299" s="63">
        <f t="shared" si="188"/>
        <v>0</v>
      </c>
      <c r="J299" s="63">
        <f t="shared" si="189"/>
        <v>0</v>
      </c>
      <c r="K299" s="63">
        <f t="shared" si="190"/>
        <v>0</v>
      </c>
      <c r="L299" s="63">
        <f t="shared" si="191"/>
        <v>0</v>
      </c>
      <c r="M299" s="63">
        <f t="shared" si="192"/>
        <v>0</v>
      </c>
      <c r="N299" s="63">
        <f t="shared" si="193"/>
        <v>0</v>
      </c>
      <c r="O299" s="63">
        <f t="shared" si="194"/>
        <v>0</v>
      </c>
      <c r="P299" s="63">
        <f t="shared" si="195"/>
        <v>0</v>
      </c>
      <c r="Q299" s="63">
        <f t="shared" si="196"/>
        <v>0</v>
      </c>
      <c r="R299" s="63"/>
      <c r="S299" s="63"/>
      <c r="T299" s="63">
        <f t="shared" si="129"/>
        <v>0</v>
      </c>
      <c r="U299" s="63">
        <f t="shared" si="200"/>
        <v>0</v>
      </c>
      <c r="V299" s="63">
        <f t="shared" si="197"/>
        <v>0</v>
      </c>
      <c r="W299" s="63">
        <f t="shared" si="198"/>
        <v>0</v>
      </c>
      <c r="X299" s="63">
        <f t="shared" si="199"/>
        <v>0</v>
      </c>
      <c r="Y299" s="63">
        <f t="shared" si="147"/>
        <v>0</v>
      </c>
      <c r="Z299" s="63"/>
      <c r="AA299" s="63">
        <f t="shared" si="204"/>
        <v>0</v>
      </c>
      <c r="AB299" s="63"/>
      <c r="AC299" s="63"/>
      <c r="AD299" s="48"/>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row>
    <row r="300" spans="1:54" s="82" customFormat="1" ht="25.5">
      <c r="A300" s="80" t="s">
        <v>602</v>
      </c>
      <c r="B300" s="83" t="s">
        <v>603</v>
      </c>
      <c r="C300" s="81" t="s">
        <v>604</v>
      </c>
      <c r="D300" s="62"/>
      <c r="E300" s="47">
        <f t="shared" si="184"/>
        <v>0</v>
      </c>
      <c r="F300" s="63">
        <f t="shared" si="186"/>
        <v>0</v>
      </c>
      <c r="G300" s="63">
        <f>H300+I300+J300+K300+L300+M300+N300+O300+P300+Q300+U300+V300+W300+X300</f>
        <v>0</v>
      </c>
      <c r="H300" s="63">
        <f t="shared" si="187"/>
        <v>0</v>
      </c>
      <c r="I300" s="63">
        <f t="shared" si="188"/>
        <v>0</v>
      </c>
      <c r="J300" s="63">
        <f t="shared" si="189"/>
        <v>0</v>
      </c>
      <c r="K300" s="63">
        <f t="shared" si="190"/>
        <v>0</v>
      </c>
      <c r="L300" s="63">
        <f t="shared" si="191"/>
        <v>0</v>
      </c>
      <c r="M300" s="63">
        <f t="shared" si="192"/>
        <v>0</v>
      </c>
      <c r="N300" s="63">
        <f t="shared" si="193"/>
        <v>0</v>
      </c>
      <c r="O300" s="63">
        <f t="shared" si="194"/>
        <v>0</v>
      </c>
      <c r="P300" s="63">
        <f t="shared" si="195"/>
        <v>0</v>
      </c>
      <c r="Q300" s="63">
        <f t="shared" si="196"/>
        <v>0</v>
      </c>
      <c r="R300" s="63"/>
      <c r="S300" s="63"/>
      <c r="T300" s="63">
        <f t="shared" si="129"/>
        <v>0</v>
      </c>
      <c r="U300" s="63">
        <f t="shared" si="200"/>
        <v>0</v>
      </c>
      <c r="V300" s="63">
        <f t="shared" si="197"/>
        <v>0</v>
      </c>
      <c r="W300" s="63">
        <f t="shared" si="198"/>
        <v>0</v>
      </c>
      <c r="X300" s="63">
        <f t="shared" si="199"/>
        <v>0</v>
      </c>
      <c r="Y300" s="63">
        <f>IF(OR($C300="932",$C300="934",$C300="949"),$D300,)</f>
        <v>0</v>
      </c>
      <c r="Z300" s="63"/>
      <c r="AA300" s="63">
        <f t="shared" si="204"/>
        <v>0</v>
      </c>
      <c r="AB300" s="63"/>
      <c r="AC300" s="63"/>
      <c r="AD300" s="48"/>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row>
    <row r="301" spans="1:54" ht="72.75" customHeight="1">
      <c r="A301" s="89" t="s">
        <v>24</v>
      </c>
      <c r="B301" s="91" t="s">
        <v>605</v>
      </c>
      <c r="C301" s="81"/>
      <c r="D301" s="62">
        <f>D302+D321+D322+D323</f>
        <v>0</v>
      </c>
      <c r="E301" s="47">
        <f t="shared" si="184"/>
        <v>0</v>
      </c>
      <c r="F301" s="63">
        <f t="shared" ref="F301:AC301" si="205">F302+F321+F322+F323</f>
        <v>0</v>
      </c>
      <c r="G301" s="63">
        <f t="shared" si="205"/>
        <v>0</v>
      </c>
      <c r="H301" s="63">
        <f t="shared" si="205"/>
        <v>0</v>
      </c>
      <c r="I301" s="63">
        <f t="shared" si="205"/>
        <v>0</v>
      </c>
      <c r="J301" s="63">
        <f t="shared" si="205"/>
        <v>0</v>
      </c>
      <c r="K301" s="63">
        <f t="shared" si="205"/>
        <v>0</v>
      </c>
      <c r="L301" s="63">
        <f t="shared" si="205"/>
        <v>0</v>
      </c>
      <c r="M301" s="63">
        <f t="shared" si="205"/>
        <v>0</v>
      </c>
      <c r="N301" s="63">
        <f t="shared" si="205"/>
        <v>0</v>
      </c>
      <c r="O301" s="63">
        <f t="shared" si="205"/>
        <v>0</v>
      </c>
      <c r="P301" s="63">
        <f t="shared" si="205"/>
        <v>0</v>
      </c>
      <c r="Q301" s="63">
        <f t="shared" si="205"/>
        <v>0</v>
      </c>
      <c r="R301" s="63">
        <f t="shared" si="205"/>
        <v>0</v>
      </c>
      <c r="S301" s="63">
        <f t="shared" si="205"/>
        <v>0</v>
      </c>
      <c r="T301" s="63">
        <f t="shared" si="205"/>
        <v>0</v>
      </c>
      <c r="U301" s="63">
        <f t="shared" si="205"/>
        <v>0</v>
      </c>
      <c r="V301" s="63">
        <f t="shared" si="205"/>
        <v>0</v>
      </c>
      <c r="W301" s="63">
        <f t="shared" si="205"/>
        <v>0</v>
      </c>
      <c r="X301" s="63">
        <f t="shared" si="205"/>
        <v>0</v>
      </c>
      <c r="Y301" s="63">
        <f t="shared" si="205"/>
        <v>0</v>
      </c>
      <c r="Z301" s="63">
        <f t="shared" si="205"/>
        <v>0</v>
      </c>
      <c r="AA301" s="63">
        <f t="shared" si="205"/>
        <v>0</v>
      </c>
      <c r="AB301" s="63">
        <f t="shared" si="205"/>
        <v>0</v>
      </c>
      <c r="AC301" s="63">
        <f t="shared" si="205"/>
        <v>0</v>
      </c>
      <c r="AD301" s="48"/>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row>
    <row r="302" spans="1:54" s="82" customFormat="1" ht="25.5">
      <c r="A302" s="92" t="s">
        <v>606</v>
      </c>
      <c r="B302" s="83" t="s">
        <v>607</v>
      </c>
      <c r="C302" s="81"/>
      <c r="D302" s="62"/>
      <c r="E302" s="47">
        <f t="shared" si="184"/>
        <v>0</v>
      </c>
      <c r="F302" s="48">
        <f t="shared" ref="F302:AC302" si="206">F303+F310</f>
        <v>0</v>
      </c>
      <c r="G302" s="48">
        <f t="shared" si="206"/>
        <v>0</v>
      </c>
      <c r="H302" s="48">
        <f t="shared" si="206"/>
        <v>0</v>
      </c>
      <c r="I302" s="48">
        <f t="shared" si="206"/>
        <v>0</v>
      </c>
      <c r="J302" s="48">
        <f t="shared" si="206"/>
        <v>0</v>
      </c>
      <c r="K302" s="48">
        <f t="shared" si="206"/>
        <v>0</v>
      </c>
      <c r="L302" s="48">
        <f t="shared" si="206"/>
        <v>0</v>
      </c>
      <c r="M302" s="48">
        <f t="shared" si="206"/>
        <v>0</v>
      </c>
      <c r="N302" s="48">
        <f t="shared" si="206"/>
        <v>0</v>
      </c>
      <c r="O302" s="48">
        <f t="shared" si="206"/>
        <v>0</v>
      </c>
      <c r="P302" s="48">
        <f t="shared" si="206"/>
        <v>0</v>
      </c>
      <c r="Q302" s="48">
        <f t="shared" si="206"/>
        <v>0</v>
      </c>
      <c r="R302" s="48">
        <f t="shared" si="206"/>
        <v>0</v>
      </c>
      <c r="S302" s="48">
        <f t="shared" si="206"/>
        <v>0</v>
      </c>
      <c r="T302" s="48">
        <f t="shared" si="206"/>
        <v>0</v>
      </c>
      <c r="U302" s="48">
        <f t="shared" si="206"/>
        <v>0</v>
      </c>
      <c r="V302" s="48">
        <f t="shared" si="206"/>
        <v>0</v>
      </c>
      <c r="W302" s="48">
        <f t="shared" si="206"/>
        <v>0</v>
      </c>
      <c r="X302" s="48">
        <f t="shared" si="206"/>
        <v>0</v>
      </c>
      <c r="Y302" s="48">
        <f t="shared" si="206"/>
        <v>0</v>
      </c>
      <c r="Z302" s="48">
        <f t="shared" si="206"/>
        <v>0</v>
      </c>
      <c r="AA302" s="48">
        <f t="shared" si="206"/>
        <v>0</v>
      </c>
      <c r="AB302" s="48">
        <f t="shared" si="206"/>
        <v>0</v>
      </c>
      <c r="AC302" s="48">
        <f t="shared" si="206"/>
        <v>0</v>
      </c>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row>
    <row r="303" spans="1:54" s="19" customFormat="1" ht="15">
      <c r="A303" s="49" t="s">
        <v>28</v>
      </c>
      <c r="B303" s="50" t="s">
        <v>608</v>
      </c>
      <c r="C303" s="51"/>
      <c r="D303" s="51"/>
      <c r="E303" s="47">
        <f t="shared" si="184"/>
        <v>0</v>
      </c>
      <c r="F303" s="56">
        <f>SUBTOTAL(9,F304:F309)</f>
        <v>0</v>
      </c>
      <c r="G303" s="56"/>
      <c r="H303" s="56"/>
      <c r="I303" s="56"/>
      <c r="J303" s="56"/>
      <c r="K303" s="56"/>
      <c r="L303" s="56"/>
      <c r="M303" s="56"/>
      <c r="N303" s="56"/>
      <c r="O303" s="56"/>
      <c r="P303" s="56"/>
      <c r="Q303" s="56"/>
      <c r="R303" s="56"/>
      <c r="S303" s="56"/>
      <c r="T303" s="56"/>
      <c r="U303" s="56"/>
      <c r="V303" s="56"/>
      <c r="W303" s="56"/>
      <c r="X303" s="56"/>
      <c r="Y303" s="56"/>
      <c r="Z303" s="56"/>
      <c r="AA303" s="56">
        <f t="shared" si="204"/>
        <v>0</v>
      </c>
      <c r="AB303" s="56">
        <f>SUBTOTAL(9,AB304:AB309)</f>
        <v>0</v>
      </c>
      <c r="AC303" s="56"/>
      <c r="AD303" s="48"/>
      <c r="AE303" s="56"/>
      <c r="AF303" s="56"/>
      <c r="AG303" s="56"/>
      <c r="AH303" s="56"/>
      <c r="AI303" s="56"/>
      <c r="AJ303" s="56"/>
      <c r="AK303" s="56"/>
      <c r="AL303" s="56"/>
      <c r="AM303" s="56"/>
      <c r="AN303" s="56"/>
      <c r="AO303" s="56"/>
      <c r="AP303" s="56"/>
      <c r="AQ303" s="56"/>
      <c r="AR303" s="56"/>
      <c r="AS303" s="56"/>
      <c r="AT303" s="56"/>
      <c r="AU303" s="56"/>
      <c r="AV303" s="56"/>
      <c r="AW303" s="56"/>
      <c r="AX303" s="56"/>
      <c r="AY303" s="56"/>
      <c r="AZ303" s="56"/>
      <c r="BA303" s="56"/>
      <c r="BB303" s="56"/>
    </row>
    <row r="304" spans="1:54" s="19" customFormat="1" ht="15">
      <c r="A304" s="93">
        <v>1</v>
      </c>
      <c r="B304" s="94" t="s">
        <v>609</v>
      </c>
      <c r="C304" s="54"/>
      <c r="D304" s="54"/>
      <c r="E304" s="47">
        <f t="shared" si="184"/>
        <v>0</v>
      </c>
      <c r="F304" s="55"/>
      <c r="G304" s="55"/>
      <c r="H304" s="55"/>
      <c r="I304" s="55"/>
      <c r="J304" s="55"/>
      <c r="K304" s="55"/>
      <c r="L304" s="55"/>
      <c r="M304" s="55"/>
      <c r="N304" s="55"/>
      <c r="O304" s="55"/>
      <c r="P304" s="55"/>
      <c r="Q304" s="55"/>
      <c r="R304" s="55"/>
      <c r="S304" s="55"/>
      <c r="T304" s="55"/>
      <c r="U304" s="55"/>
      <c r="V304" s="55"/>
      <c r="W304" s="55"/>
      <c r="X304" s="55"/>
      <c r="Y304" s="55"/>
      <c r="Z304" s="55"/>
      <c r="AA304" s="55">
        <f t="shared" si="204"/>
        <v>0</v>
      </c>
      <c r="AB304" s="55"/>
      <c r="AC304" s="55"/>
      <c r="AD304" s="48"/>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row>
    <row r="305" spans="1:54" s="19" customFormat="1" ht="15">
      <c r="A305" s="93">
        <v>2</v>
      </c>
      <c r="B305" s="94" t="s">
        <v>610</v>
      </c>
      <c r="C305" s="54"/>
      <c r="D305" s="54"/>
      <c r="E305" s="47">
        <f t="shared" si="184"/>
        <v>0</v>
      </c>
      <c r="F305" s="55"/>
      <c r="G305" s="55"/>
      <c r="H305" s="55"/>
      <c r="I305" s="55"/>
      <c r="J305" s="55"/>
      <c r="K305" s="55"/>
      <c r="L305" s="55"/>
      <c r="M305" s="55"/>
      <c r="N305" s="55"/>
      <c r="O305" s="55"/>
      <c r="P305" s="55"/>
      <c r="Q305" s="55"/>
      <c r="R305" s="55"/>
      <c r="S305" s="55"/>
      <c r="T305" s="55"/>
      <c r="U305" s="55"/>
      <c r="V305" s="55"/>
      <c r="W305" s="55"/>
      <c r="X305" s="55"/>
      <c r="Y305" s="55"/>
      <c r="Z305" s="55"/>
      <c r="AA305" s="55">
        <f t="shared" si="204"/>
        <v>0</v>
      </c>
      <c r="AB305" s="55"/>
      <c r="AC305" s="55"/>
      <c r="AD305" s="48"/>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row>
    <row r="306" spans="1:54" s="19" customFormat="1" ht="15">
      <c r="A306" s="93">
        <v>3</v>
      </c>
      <c r="B306" s="94" t="s">
        <v>611</v>
      </c>
      <c r="C306" s="54"/>
      <c r="D306" s="54"/>
      <c r="E306" s="47">
        <f t="shared" si="184"/>
        <v>0</v>
      </c>
      <c r="F306" s="55"/>
      <c r="G306" s="55"/>
      <c r="H306" s="55"/>
      <c r="I306" s="55"/>
      <c r="J306" s="55"/>
      <c r="K306" s="55"/>
      <c r="L306" s="55"/>
      <c r="M306" s="55"/>
      <c r="N306" s="55"/>
      <c r="O306" s="55"/>
      <c r="P306" s="55"/>
      <c r="Q306" s="55"/>
      <c r="R306" s="55"/>
      <c r="S306" s="55"/>
      <c r="T306" s="55"/>
      <c r="U306" s="55"/>
      <c r="V306" s="55"/>
      <c r="W306" s="55"/>
      <c r="X306" s="55"/>
      <c r="Y306" s="55"/>
      <c r="Z306" s="55"/>
      <c r="AA306" s="55">
        <f t="shared" si="204"/>
        <v>0</v>
      </c>
      <c r="AB306" s="55"/>
      <c r="AC306" s="55"/>
      <c r="AD306" s="48"/>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row>
    <row r="307" spans="1:54" s="19" customFormat="1" ht="15">
      <c r="A307" s="93">
        <v>4</v>
      </c>
      <c r="B307" s="94" t="s">
        <v>612</v>
      </c>
      <c r="C307" s="54"/>
      <c r="D307" s="54"/>
      <c r="E307" s="47">
        <f t="shared" si="184"/>
        <v>0</v>
      </c>
      <c r="F307" s="55"/>
      <c r="G307" s="55"/>
      <c r="H307" s="55"/>
      <c r="I307" s="55"/>
      <c r="J307" s="55"/>
      <c r="K307" s="55"/>
      <c r="L307" s="55"/>
      <c r="M307" s="55"/>
      <c r="N307" s="55"/>
      <c r="O307" s="55"/>
      <c r="P307" s="55"/>
      <c r="Q307" s="55"/>
      <c r="R307" s="55"/>
      <c r="S307" s="55"/>
      <c r="T307" s="55"/>
      <c r="U307" s="55"/>
      <c r="V307" s="55"/>
      <c r="W307" s="55"/>
      <c r="X307" s="55"/>
      <c r="Y307" s="55"/>
      <c r="Z307" s="55"/>
      <c r="AA307" s="55">
        <f t="shared" si="204"/>
        <v>0</v>
      </c>
      <c r="AB307" s="55"/>
      <c r="AC307" s="55"/>
      <c r="AD307" s="48"/>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row>
    <row r="308" spans="1:54" s="19" customFormat="1" ht="16.5" customHeight="1">
      <c r="A308" s="93">
        <v>5</v>
      </c>
      <c r="B308" s="95" t="s">
        <v>613</v>
      </c>
      <c r="C308" s="54"/>
      <c r="D308" s="96"/>
      <c r="E308" s="47">
        <f t="shared" si="184"/>
        <v>0</v>
      </c>
      <c r="F308" s="55"/>
      <c r="G308" s="55"/>
      <c r="H308" s="55"/>
      <c r="I308" s="55"/>
      <c r="J308" s="55"/>
      <c r="K308" s="55"/>
      <c r="L308" s="55"/>
      <c r="M308" s="55"/>
      <c r="N308" s="55"/>
      <c r="O308" s="55"/>
      <c r="P308" s="55"/>
      <c r="Q308" s="55"/>
      <c r="R308" s="55"/>
      <c r="S308" s="55"/>
      <c r="T308" s="55"/>
      <c r="U308" s="55"/>
      <c r="V308" s="55"/>
      <c r="W308" s="55"/>
      <c r="X308" s="55"/>
      <c r="Y308" s="55"/>
      <c r="Z308" s="55"/>
      <c r="AA308" s="55">
        <f t="shared" si="204"/>
        <v>0</v>
      </c>
      <c r="AB308" s="55"/>
      <c r="AC308" s="55"/>
      <c r="AD308" s="48"/>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row>
    <row r="309" spans="1:54" s="19" customFormat="1" ht="15">
      <c r="A309" s="93">
        <v>7</v>
      </c>
      <c r="B309" s="94" t="s">
        <v>614</v>
      </c>
      <c r="C309" s="54"/>
      <c r="D309" s="54"/>
      <c r="E309" s="47">
        <f t="shared" si="184"/>
        <v>0</v>
      </c>
      <c r="F309" s="55"/>
      <c r="G309" s="55"/>
      <c r="H309" s="55"/>
      <c r="I309" s="55"/>
      <c r="J309" s="55"/>
      <c r="K309" s="55"/>
      <c r="L309" s="55"/>
      <c r="M309" s="55"/>
      <c r="N309" s="55"/>
      <c r="O309" s="55"/>
      <c r="P309" s="55"/>
      <c r="Q309" s="55"/>
      <c r="R309" s="55"/>
      <c r="S309" s="55"/>
      <c r="T309" s="55"/>
      <c r="U309" s="55"/>
      <c r="V309" s="55"/>
      <c r="W309" s="55"/>
      <c r="X309" s="55"/>
      <c r="Y309" s="55"/>
      <c r="Z309" s="55"/>
      <c r="AA309" s="55">
        <f t="shared" si="204"/>
        <v>0</v>
      </c>
      <c r="AB309" s="55"/>
      <c r="AC309" s="55"/>
      <c r="AD309" s="48"/>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row>
    <row r="310" spans="1:54" s="58" customFormat="1" ht="15" customHeight="1">
      <c r="A310" s="49" t="s">
        <v>33</v>
      </c>
      <c r="B310" s="97" t="s">
        <v>44</v>
      </c>
      <c r="C310" s="51"/>
      <c r="D310" s="98"/>
      <c r="E310" s="47">
        <f t="shared" si="184"/>
        <v>0</v>
      </c>
      <c r="F310" s="48">
        <f t="shared" ref="F310:AC310" si="207">SUM(F311:F320)</f>
        <v>0</v>
      </c>
      <c r="G310" s="48">
        <f t="shared" si="207"/>
        <v>0</v>
      </c>
      <c r="H310" s="48">
        <f t="shared" si="207"/>
        <v>0</v>
      </c>
      <c r="I310" s="48">
        <f t="shared" si="207"/>
        <v>0</v>
      </c>
      <c r="J310" s="48">
        <f t="shared" si="207"/>
        <v>0</v>
      </c>
      <c r="K310" s="48">
        <f t="shared" si="207"/>
        <v>0</v>
      </c>
      <c r="L310" s="48">
        <f t="shared" si="207"/>
        <v>0</v>
      </c>
      <c r="M310" s="48">
        <f t="shared" si="207"/>
        <v>0</v>
      </c>
      <c r="N310" s="48">
        <f t="shared" si="207"/>
        <v>0</v>
      </c>
      <c r="O310" s="48">
        <f t="shared" si="207"/>
        <v>0</v>
      </c>
      <c r="P310" s="48">
        <f t="shared" si="207"/>
        <v>0</v>
      </c>
      <c r="Q310" s="48">
        <f t="shared" si="207"/>
        <v>0</v>
      </c>
      <c r="R310" s="48">
        <f t="shared" si="207"/>
        <v>0</v>
      </c>
      <c r="S310" s="48">
        <f t="shared" si="207"/>
        <v>0</v>
      </c>
      <c r="T310" s="48">
        <f t="shared" si="207"/>
        <v>0</v>
      </c>
      <c r="U310" s="48">
        <f t="shared" si="207"/>
        <v>0</v>
      </c>
      <c r="V310" s="48">
        <f t="shared" si="207"/>
        <v>0</v>
      </c>
      <c r="W310" s="48">
        <f t="shared" si="207"/>
        <v>0</v>
      </c>
      <c r="X310" s="48">
        <f t="shared" si="207"/>
        <v>0</v>
      </c>
      <c r="Y310" s="48">
        <f t="shared" si="207"/>
        <v>0</v>
      </c>
      <c r="Z310" s="48">
        <f t="shared" si="207"/>
        <v>0</v>
      </c>
      <c r="AA310" s="48">
        <f t="shared" si="207"/>
        <v>0</v>
      </c>
      <c r="AB310" s="48">
        <f t="shared" si="207"/>
        <v>0</v>
      </c>
      <c r="AC310" s="48">
        <f t="shared" si="207"/>
        <v>0</v>
      </c>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row>
    <row r="311" spans="1:54" s="19" customFormat="1" ht="18" customHeight="1">
      <c r="A311" s="99">
        <v>1</v>
      </c>
      <c r="B311" s="100" t="s">
        <v>615</v>
      </c>
      <c r="C311" s="101"/>
      <c r="D311" s="101"/>
      <c r="E311" s="47">
        <f t="shared" si="184"/>
        <v>0</v>
      </c>
      <c r="F311" s="102"/>
      <c r="G311" s="102"/>
      <c r="H311" s="102"/>
      <c r="I311" s="102"/>
      <c r="J311" s="102"/>
      <c r="K311" s="102"/>
      <c r="L311" s="102"/>
      <c r="M311" s="102"/>
      <c r="N311" s="102"/>
      <c r="O311" s="102"/>
      <c r="P311" s="102"/>
      <c r="Q311" s="102"/>
      <c r="R311" s="102"/>
      <c r="S311" s="102"/>
      <c r="T311" s="102"/>
      <c r="U311" s="102"/>
      <c r="V311" s="102"/>
      <c r="W311" s="102"/>
      <c r="X311" s="102"/>
      <c r="Y311" s="102"/>
      <c r="Z311" s="102"/>
      <c r="AA311" s="102">
        <f t="shared" ref="AA311:AA366" si="208">AB311+AC311</f>
        <v>0</v>
      </c>
      <c r="AB311" s="102"/>
      <c r="AC311" s="102"/>
      <c r="AD311" s="48"/>
      <c r="AE311" s="102"/>
      <c r="AF311" s="102"/>
      <c r="AG311" s="102"/>
      <c r="AH311" s="102"/>
      <c r="AI311" s="102"/>
      <c r="AJ311" s="102"/>
      <c r="AK311" s="102"/>
      <c r="AL311" s="102"/>
      <c r="AM311" s="102"/>
      <c r="AN311" s="102"/>
      <c r="AO311" s="102"/>
      <c r="AP311" s="102"/>
      <c r="AQ311" s="102"/>
      <c r="AR311" s="102"/>
      <c r="AS311" s="102"/>
      <c r="AT311" s="102"/>
      <c r="AU311" s="102"/>
      <c r="AV311" s="102"/>
      <c r="AW311" s="102"/>
      <c r="AX311" s="102"/>
      <c r="AY311" s="102"/>
      <c r="AZ311" s="102"/>
      <c r="BA311" s="102"/>
      <c r="BB311" s="102"/>
    </row>
    <row r="312" spans="1:54" s="19" customFormat="1" ht="19.5" customHeight="1">
      <c r="A312" s="99">
        <v>2</v>
      </c>
      <c r="B312" s="100" t="s">
        <v>616</v>
      </c>
      <c r="C312" s="101"/>
      <c r="D312" s="101"/>
      <c r="E312" s="47">
        <f t="shared" si="184"/>
        <v>0</v>
      </c>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f t="shared" si="208"/>
        <v>0</v>
      </c>
      <c r="AB312" s="102"/>
      <c r="AC312" s="102"/>
      <c r="AD312" s="48"/>
      <c r="AE312" s="102"/>
      <c r="AF312" s="102"/>
      <c r="AG312" s="102"/>
      <c r="AH312" s="102"/>
      <c r="AI312" s="102"/>
      <c r="AJ312" s="102"/>
      <c r="AK312" s="102"/>
      <c r="AL312" s="102"/>
      <c r="AM312" s="102"/>
      <c r="AN312" s="102"/>
      <c r="AO312" s="102"/>
      <c r="AP312" s="102"/>
      <c r="AQ312" s="102"/>
      <c r="AR312" s="102"/>
      <c r="AS312" s="102"/>
      <c r="AT312" s="102"/>
      <c r="AU312" s="102"/>
      <c r="AV312" s="102"/>
      <c r="AW312" s="102"/>
      <c r="AX312" s="102"/>
      <c r="AY312" s="102"/>
      <c r="AZ312" s="102"/>
      <c r="BA312" s="102"/>
      <c r="BB312" s="102"/>
    </row>
    <row r="313" spans="1:54" s="19" customFormat="1" ht="19.5" customHeight="1">
      <c r="A313" s="99">
        <v>3</v>
      </c>
      <c r="B313" s="100" t="s">
        <v>617</v>
      </c>
      <c r="C313" s="101"/>
      <c r="D313" s="101"/>
      <c r="E313" s="47">
        <f t="shared" si="184"/>
        <v>0</v>
      </c>
      <c r="F313" s="102"/>
      <c r="G313" s="102"/>
      <c r="H313" s="102"/>
      <c r="I313" s="102"/>
      <c r="J313" s="102"/>
      <c r="K313" s="102"/>
      <c r="L313" s="102"/>
      <c r="M313" s="102"/>
      <c r="N313" s="102"/>
      <c r="O313" s="102"/>
      <c r="P313" s="102"/>
      <c r="Q313" s="102"/>
      <c r="R313" s="102"/>
      <c r="S313" s="102"/>
      <c r="T313" s="102"/>
      <c r="U313" s="102"/>
      <c r="V313" s="102"/>
      <c r="W313" s="102"/>
      <c r="X313" s="102"/>
      <c r="Y313" s="102"/>
      <c r="Z313" s="102"/>
      <c r="AA313" s="102">
        <f t="shared" si="208"/>
        <v>0</v>
      </c>
      <c r="AB313" s="102"/>
      <c r="AC313" s="102"/>
      <c r="AD313" s="48"/>
      <c r="AE313" s="102"/>
      <c r="AF313" s="102"/>
      <c r="AG313" s="102"/>
      <c r="AH313" s="102"/>
      <c r="AI313" s="102"/>
      <c r="AJ313" s="102"/>
      <c r="AK313" s="102"/>
      <c r="AL313" s="102"/>
      <c r="AM313" s="102"/>
      <c r="AN313" s="102"/>
      <c r="AO313" s="102"/>
      <c r="AP313" s="102"/>
      <c r="AQ313" s="102"/>
      <c r="AR313" s="102"/>
      <c r="AS313" s="102"/>
      <c r="AT313" s="102"/>
      <c r="AU313" s="102"/>
      <c r="AV313" s="102"/>
      <c r="AW313" s="102"/>
      <c r="AX313" s="102"/>
      <c r="AY313" s="102"/>
      <c r="AZ313" s="102"/>
      <c r="BA313" s="102"/>
      <c r="BB313" s="102"/>
    </row>
    <row r="314" spans="1:54" s="19" customFormat="1" ht="15">
      <c r="A314" s="99">
        <v>4</v>
      </c>
      <c r="B314" s="100" t="s">
        <v>618</v>
      </c>
      <c r="C314" s="101"/>
      <c r="D314" s="101"/>
      <c r="E314" s="47">
        <f t="shared" si="184"/>
        <v>0</v>
      </c>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f t="shared" si="208"/>
        <v>0</v>
      </c>
      <c r="AB314" s="102"/>
      <c r="AC314" s="102"/>
      <c r="AD314" s="48"/>
      <c r="AE314" s="102"/>
      <c r="AF314" s="102"/>
      <c r="AG314" s="102"/>
      <c r="AH314" s="102"/>
      <c r="AI314" s="102"/>
      <c r="AJ314" s="102"/>
      <c r="AK314" s="102"/>
      <c r="AL314" s="102"/>
      <c r="AM314" s="102"/>
      <c r="AN314" s="102"/>
      <c r="AO314" s="102"/>
      <c r="AP314" s="102"/>
      <c r="AQ314" s="102"/>
      <c r="AR314" s="102"/>
      <c r="AS314" s="102"/>
      <c r="AT314" s="102"/>
      <c r="AU314" s="102"/>
      <c r="AV314" s="102"/>
      <c r="AW314" s="102"/>
      <c r="AX314" s="102"/>
      <c r="AY314" s="102"/>
      <c r="AZ314" s="102"/>
      <c r="BA314" s="102"/>
      <c r="BB314" s="102"/>
    </row>
    <row r="315" spans="1:54" s="19" customFormat="1" ht="15">
      <c r="A315" s="99">
        <v>5</v>
      </c>
      <c r="B315" s="100" t="s">
        <v>619</v>
      </c>
      <c r="C315" s="101"/>
      <c r="D315" s="101"/>
      <c r="E315" s="47">
        <f t="shared" si="184"/>
        <v>0</v>
      </c>
      <c r="F315" s="102"/>
      <c r="G315" s="102"/>
      <c r="H315" s="102"/>
      <c r="I315" s="102"/>
      <c r="J315" s="102"/>
      <c r="K315" s="102"/>
      <c r="L315" s="102"/>
      <c r="M315" s="102"/>
      <c r="N315" s="102"/>
      <c r="O315" s="102"/>
      <c r="P315" s="102"/>
      <c r="Q315" s="102"/>
      <c r="R315" s="102"/>
      <c r="S315" s="102"/>
      <c r="T315" s="102"/>
      <c r="U315" s="102"/>
      <c r="V315" s="102"/>
      <c r="W315" s="102"/>
      <c r="X315" s="102"/>
      <c r="Y315" s="102"/>
      <c r="Z315" s="102"/>
      <c r="AA315" s="102">
        <f t="shared" si="208"/>
        <v>0</v>
      </c>
      <c r="AB315" s="102"/>
      <c r="AC315" s="102"/>
      <c r="AD315" s="48"/>
      <c r="AE315" s="102"/>
      <c r="AF315" s="102"/>
      <c r="AG315" s="102"/>
      <c r="AH315" s="102"/>
      <c r="AI315" s="102"/>
      <c r="AJ315" s="102"/>
      <c r="AK315" s="102"/>
      <c r="AL315" s="102"/>
      <c r="AM315" s="102"/>
      <c r="AN315" s="102"/>
      <c r="AO315" s="102"/>
      <c r="AP315" s="102"/>
      <c r="AQ315" s="102"/>
      <c r="AR315" s="102"/>
      <c r="AS315" s="102"/>
      <c r="AT315" s="102"/>
      <c r="AU315" s="102"/>
      <c r="AV315" s="102"/>
      <c r="AW315" s="102"/>
      <c r="AX315" s="102"/>
      <c r="AY315" s="102"/>
      <c r="AZ315" s="102"/>
      <c r="BA315" s="102"/>
      <c r="BB315" s="102"/>
    </row>
    <row r="316" spans="1:54" s="19" customFormat="1" ht="15">
      <c r="A316" s="99">
        <v>6</v>
      </c>
      <c r="B316" s="100" t="s">
        <v>620</v>
      </c>
      <c r="C316" s="101"/>
      <c r="D316" s="101"/>
      <c r="E316" s="47">
        <f t="shared" si="184"/>
        <v>0</v>
      </c>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f t="shared" si="208"/>
        <v>0</v>
      </c>
      <c r="AB316" s="102"/>
      <c r="AC316" s="102"/>
      <c r="AD316" s="48"/>
      <c r="AE316" s="102"/>
      <c r="AF316" s="102"/>
      <c r="AG316" s="102"/>
      <c r="AH316" s="102"/>
      <c r="AI316" s="102"/>
      <c r="AJ316" s="102"/>
      <c r="AK316" s="102"/>
      <c r="AL316" s="102"/>
      <c r="AM316" s="102"/>
      <c r="AN316" s="102"/>
      <c r="AO316" s="102"/>
      <c r="AP316" s="102"/>
      <c r="AQ316" s="102"/>
      <c r="AR316" s="102"/>
      <c r="AS316" s="102"/>
      <c r="AT316" s="102"/>
      <c r="AU316" s="102"/>
      <c r="AV316" s="102"/>
      <c r="AW316" s="102"/>
      <c r="AX316" s="102"/>
      <c r="AY316" s="102"/>
      <c r="AZ316" s="102"/>
      <c r="BA316" s="102"/>
      <c r="BB316" s="102"/>
    </row>
    <row r="317" spans="1:54" s="19" customFormat="1" ht="15">
      <c r="A317" s="99">
        <v>7</v>
      </c>
      <c r="B317" s="100" t="s">
        <v>559</v>
      </c>
      <c r="C317" s="101"/>
      <c r="D317" s="101"/>
      <c r="E317" s="47">
        <f t="shared" si="184"/>
        <v>0</v>
      </c>
      <c r="F317" s="102"/>
      <c r="G317" s="102"/>
      <c r="H317" s="102"/>
      <c r="I317" s="102"/>
      <c r="J317" s="102"/>
      <c r="K317" s="102"/>
      <c r="L317" s="102"/>
      <c r="M317" s="102"/>
      <c r="N317" s="102"/>
      <c r="O317" s="102"/>
      <c r="P317" s="102"/>
      <c r="Q317" s="102"/>
      <c r="R317" s="102"/>
      <c r="S317" s="102"/>
      <c r="T317" s="102"/>
      <c r="U317" s="102"/>
      <c r="V317" s="102"/>
      <c r="W317" s="102"/>
      <c r="X317" s="102"/>
      <c r="Y317" s="102"/>
      <c r="Z317" s="102"/>
      <c r="AA317" s="102">
        <f t="shared" si="208"/>
        <v>0</v>
      </c>
      <c r="AB317" s="102"/>
      <c r="AC317" s="102"/>
      <c r="AD317" s="48"/>
      <c r="AE317" s="102"/>
      <c r="AF317" s="102"/>
      <c r="AG317" s="102"/>
      <c r="AH317" s="102"/>
      <c r="AI317" s="102"/>
      <c r="AJ317" s="102"/>
      <c r="AK317" s="102"/>
      <c r="AL317" s="102"/>
      <c r="AM317" s="102"/>
      <c r="AN317" s="102"/>
      <c r="AO317" s="102"/>
      <c r="AP317" s="102"/>
      <c r="AQ317" s="102"/>
      <c r="AR317" s="102"/>
      <c r="AS317" s="102"/>
      <c r="AT317" s="102"/>
      <c r="AU317" s="102"/>
      <c r="AV317" s="102"/>
      <c r="AW317" s="102"/>
      <c r="AX317" s="102"/>
      <c r="AY317" s="102"/>
      <c r="AZ317" s="102"/>
      <c r="BA317" s="102"/>
      <c r="BB317" s="102"/>
    </row>
    <row r="318" spans="1:54" s="19" customFormat="1" ht="15">
      <c r="A318" s="99">
        <v>8</v>
      </c>
      <c r="B318" s="100" t="s">
        <v>621</v>
      </c>
      <c r="C318" s="101"/>
      <c r="D318" s="101"/>
      <c r="E318" s="47">
        <f t="shared" si="184"/>
        <v>0</v>
      </c>
      <c r="F318" s="102"/>
      <c r="G318" s="102"/>
      <c r="H318" s="102"/>
      <c r="I318" s="102"/>
      <c r="J318" s="102"/>
      <c r="K318" s="102"/>
      <c r="L318" s="102"/>
      <c r="M318" s="102"/>
      <c r="N318" s="102"/>
      <c r="O318" s="102"/>
      <c r="P318" s="102"/>
      <c r="Q318" s="102"/>
      <c r="R318" s="102"/>
      <c r="S318" s="102"/>
      <c r="T318" s="102"/>
      <c r="U318" s="102"/>
      <c r="V318" s="102"/>
      <c r="W318" s="102"/>
      <c r="X318" s="102"/>
      <c r="Y318" s="102"/>
      <c r="Z318" s="102"/>
      <c r="AA318" s="102">
        <f t="shared" si="208"/>
        <v>0</v>
      </c>
      <c r="AB318" s="102"/>
      <c r="AC318" s="102"/>
      <c r="AD318" s="48"/>
      <c r="AE318" s="102"/>
      <c r="AF318" s="102"/>
      <c r="AG318" s="102"/>
      <c r="AH318" s="102"/>
      <c r="AI318" s="102"/>
      <c r="AJ318" s="102"/>
      <c r="AK318" s="102"/>
      <c r="AL318" s="102"/>
      <c r="AM318" s="102"/>
      <c r="AN318" s="102"/>
      <c r="AO318" s="102"/>
      <c r="AP318" s="102"/>
      <c r="AQ318" s="102"/>
      <c r="AR318" s="102"/>
      <c r="AS318" s="102"/>
      <c r="AT318" s="102"/>
      <c r="AU318" s="102"/>
      <c r="AV318" s="102"/>
      <c r="AW318" s="102"/>
      <c r="AX318" s="102"/>
      <c r="AY318" s="102"/>
      <c r="AZ318" s="102"/>
      <c r="BA318" s="102"/>
      <c r="BB318" s="102"/>
    </row>
    <row r="319" spans="1:54" s="19" customFormat="1" ht="28.5" customHeight="1">
      <c r="A319" s="99">
        <v>9</v>
      </c>
      <c r="B319" s="100" t="s">
        <v>622</v>
      </c>
      <c r="C319" s="101"/>
      <c r="D319" s="101"/>
      <c r="E319" s="47">
        <f t="shared" si="184"/>
        <v>0</v>
      </c>
      <c r="F319" s="102"/>
      <c r="G319" s="102"/>
      <c r="H319" s="102"/>
      <c r="I319" s="102"/>
      <c r="J319" s="102"/>
      <c r="K319" s="102"/>
      <c r="L319" s="102"/>
      <c r="M319" s="102"/>
      <c r="N319" s="102"/>
      <c r="O319" s="102"/>
      <c r="P319" s="102"/>
      <c r="Q319" s="102"/>
      <c r="R319" s="102"/>
      <c r="S319" s="102"/>
      <c r="T319" s="102"/>
      <c r="U319" s="102"/>
      <c r="V319" s="102"/>
      <c r="W319" s="102"/>
      <c r="X319" s="102"/>
      <c r="Y319" s="102"/>
      <c r="Z319" s="102"/>
      <c r="AA319" s="102">
        <f t="shared" si="208"/>
        <v>0</v>
      </c>
      <c r="AB319" s="102"/>
      <c r="AC319" s="102"/>
      <c r="AD319" s="48"/>
      <c r="AE319" s="102"/>
      <c r="AF319" s="102"/>
      <c r="AG319" s="102"/>
      <c r="AH319" s="102"/>
      <c r="AI319" s="102"/>
      <c r="AJ319" s="102"/>
      <c r="AK319" s="102"/>
      <c r="AL319" s="102"/>
      <c r="AM319" s="102"/>
      <c r="AN319" s="102"/>
      <c r="AO319" s="102"/>
      <c r="AP319" s="102"/>
      <c r="AQ319" s="102"/>
      <c r="AR319" s="102"/>
      <c r="AS319" s="102"/>
      <c r="AT319" s="102"/>
      <c r="AU319" s="102"/>
      <c r="AV319" s="102"/>
      <c r="AW319" s="102"/>
      <c r="AX319" s="102"/>
      <c r="AY319" s="102"/>
      <c r="AZ319" s="102"/>
      <c r="BA319" s="102"/>
      <c r="BB319" s="102"/>
    </row>
    <row r="320" spans="1:54" s="19" customFormat="1" ht="15">
      <c r="A320" s="99">
        <v>10</v>
      </c>
      <c r="B320" s="100" t="s">
        <v>361</v>
      </c>
      <c r="C320" s="101"/>
      <c r="D320" s="101"/>
      <c r="E320" s="47">
        <f t="shared" si="184"/>
        <v>0</v>
      </c>
      <c r="F320" s="102"/>
      <c r="G320" s="102"/>
      <c r="H320" s="102"/>
      <c r="I320" s="102"/>
      <c r="J320" s="102"/>
      <c r="K320" s="102"/>
      <c r="L320" s="102"/>
      <c r="M320" s="102"/>
      <c r="N320" s="102"/>
      <c r="O320" s="102"/>
      <c r="P320" s="102"/>
      <c r="Q320" s="102"/>
      <c r="R320" s="102"/>
      <c r="S320" s="102"/>
      <c r="T320" s="102"/>
      <c r="U320" s="102"/>
      <c r="V320" s="102"/>
      <c r="W320" s="102"/>
      <c r="X320" s="102"/>
      <c r="Y320" s="102"/>
      <c r="Z320" s="102"/>
      <c r="AA320" s="102">
        <f t="shared" si="208"/>
        <v>0</v>
      </c>
      <c r="AB320" s="102"/>
      <c r="AC320" s="102"/>
      <c r="AD320" s="103"/>
      <c r="AE320" s="104"/>
      <c r="AF320" s="104"/>
      <c r="AG320" s="104"/>
      <c r="AH320" s="104"/>
      <c r="AI320" s="104"/>
      <c r="AJ320" s="104"/>
      <c r="AK320" s="104"/>
      <c r="AL320" s="104"/>
      <c r="AM320" s="104"/>
      <c r="AN320" s="104"/>
      <c r="AO320" s="104"/>
      <c r="AP320" s="104"/>
      <c r="AQ320" s="104"/>
      <c r="AR320" s="104"/>
      <c r="AS320" s="104"/>
      <c r="AT320" s="104"/>
      <c r="AU320" s="104"/>
      <c r="AV320" s="104"/>
      <c r="AW320" s="104"/>
      <c r="AX320" s="104"/>
      <c r="AY320" s="104"/>
      <c r="AZ320" s="104"/>
      <c r="BA320" s="104"/>
      <c r="BB320" s="104"/>
    </row>
    <row r="321" spans="1:54" s="82" customFormat="1" ht="33" customHeight="1" collapsed="1">
      <c r="A321" s="92" t="s">
        <v>623</v>
      </c>
      <c r="B321" s="105" t="s">
        <v>624</v>
      </c>
      <c r="C321" s="81"/>
      <c r="D321" s="62"/>
      <c r="E321" s="106">
        <f t="shared" si="184"/>
        <v>0</v>
      </c>
      <c r="F321" s="63"/>
      <c r="G321" s="63">
        <f t="shared" ref="G321:G366" si="209">H321+I321+J321+K321+L321+M321+N321+O321+P321+Q321+U321+V321+W321+X321</f>
        <v>0</v>
      </c>
      <c r="H321" s="63"/>
      <c r="I321" s="63"/>
      <c r="J321" s="63"/>
      <c r="K321" s="63"/>
      <c r="L321" s="63"/>
      <c r="M321" s="63"/>
      <c r="N321" s="63"/>
      <c r="O321" s="63"/>
      <c r="P321" s="63"/>
      <c r="Q321" s="63"/>
      <c r="R321" s="63"/>
      <c r="S321" s="63"/>
      <c r="T321" s="63">
        <f t="shared" ref="T321:T366" si="210">Q321-R321-S321</f>
        <v>0</v>
      </c>
      <c r="U321" s="63"/>
      <c r="V321" s="63"/>
      <c r="W321" s="63"/>
      <c r="X321" s="63"/>
      <c r="Y321" s="63">
        <f>IF(OR($C321="932",$C321="934",$C321="949"),$D321,)</f>
        <v>0</v>
      </c>
      <c r="Z321" s="63"/>
      <c r="AA321" s="63">
        <f t="shared" si="208"/>
        <v>0</v>
      </c>
      <c r="AB321" s="63"/>
      <c r="AC321" s="63"/>
      <c r="AD321" s="106">
        <f t="shared" ref="AD321:AD333" si="211">AE321+AF321+AX321+AY321+AZ321</f>
        <v>0</v>
      </c>
      <c r="AE321" s="107"/>
      <c r="AF321" s="107">
        <f t="shared" ref="AF321" si="212">AG321+AH321+AI321+AJ321+AK321+AL321+AM321+AN321+AO321+AP321+AT321+AU321+AV321+AW321</f>
        <v>0</v>
      </c>
      <c r="AG321" s="107"/>
      <c r="AH321" s="107"/>
      <c r="AI321" s="107"/>
      <c r="AJ321" s="107"/>
      <c r="AK321" s="107"/>
      <c r="AL321" s="107"/>
      <c r="AM321" s="107"/>
      <c r="AN321" s="107"/>
      <c r="AO321" s="107"/>
      <c r="AP321" s="107"/>
      <c r="AQ321" s="107"/>
      <c r="AR321" s="107"/>
      <c r="AS321" s="107">
        <f t="shared" ref="AS321" si="213">AP321-AQ321-AR321</f>
        <v>0</v>
      </c>
      <c r="AT321" s="107"/>
      <c r="AU321" s="107"/>
      <c r="AV321" s="107"/>
      <c r="AW321" s="107"/>
      <c r="AX321" s="107">
        <f>IF(OR($C321="932",$C321="934",$C321="949"),$D321,)</f>
        <v>0</v>
      </c>
      <c r="AY321" s="107"/>
      <c r="AZ321" s="107">
        <f t="shared" ref="AZ321" si="214">BA321+BB321</f>
        <v>0</v>
      </c>
      <c r="BA321" s="107"/>
      <c r="BB321" s="107"/>
    </row>
    <row r="322" spans="1:54" s="82" customFormat="1" ht="12.75" customHeight="1" outlineLevel="1">
      <c r="A322" s="92"/>
      <c r="B322" s="83"/>
      <c r="C322" s="81"/>
      <c r="D322" s="62"/>
      <c r="E322" s="42">
        <f t="shared" si="184"/>
        <v>0</v>
      </c>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42">
        <f t="shared" si="211"/>
        <v>0</v>
      </c>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row>
    <row r="323" spans="1:54" s="82" customFormat="1" ht="12.75" customHeight="1">
      <c r="A323" s="92" t="s">
        <v>625</v>
      </c>
      <c r="B323" s="83" t="s">
        <v>626</v>
      </c>
      <c r="C323" s="81"/>
      <c r="D323" s="62"/>
      <c r="E323" s="42">
        <f t="shared" si="184"/>
        <v>0</v>
      </c>
      <c r="F323" s="48">
        <f t="shared" ref="F323:AC323" si="215">F324+F325</f>
        <v>0</v>
      </c>
      <c r="G323" s="48">
        <f t="shared" si="215"/>
        <v>0</v>
      </c>
      <c r="H323" s="48">
        <f t="shared" si="215"/>
        <v>0</v>
      </c>
      <c r="I323" s="48">
        <f t="shared" si="215"/>
        <v>0</v>
      </c>
      <c r="J323" s="48">
        <f t="shared" si="215"/>
        <v>0</v>
      </c>
      <c r="K323" s="48">
        <f t="shared" si="215"/>
        <v>0</v>
      </c>
      <c r="L323" s="48">
        <f t="shared" si="215"/>
        <v>0</v>
      </c>
      <c r="M323" s="48">
        <f t="shared" si="215"/>
        <v>0</v>
      </c>
      <c r="N323" s="48">
        <f t="shared" si="215"/>
        <v>0</v>
      </c>
      <c r="O323" s="48">
        <f t="shared" si="215"/>
        <v>0</v>
      </c>
      <c r="P323" s="48">
        <f t="shared" si="215"/>
        <v>0</v>
      </c>
      <c r="Q323" s="48">
        <f t="shared" si="215"/>
        <v>0</v>
      </c>
      <c r="R323" s="48">
        <f t="shared" si="215"/>
        <v>0</v>
      </c>
      <c r="S323" s="48">
        <f t="shared" si="215"/>
        <v>0</v>
      </c>
      <c r="T323" s="48">
        <f t="shared" si="215"/>
        <v>0</v>
      </c>
      <c r="U323" s="48">
        <f t="shared" si="215"/>
        <v>0</v>
      </c>
      <c r="V323" s="48">
        <f t="shared" si="215"/>
        <v>0</v>
      </c>
      <c r="W323" s="48">
        <f t="shared" si="215"/>
        <v>0</v>
      </c>
      <c r="X323" s="48">
        <f t="shared" si="215"/>
        <v>0</v>
      </c>
      <c r="Y323" s="48">
        <f t="shared" si="215"/>
        <v>0</v>
      </c>
      <c r="Z323" s="48">
        <f t="shared" si="215"/>
        <v>0</v>
      </c>
      <c r="AA323" s="48">
        <f t="shared" si="215"/>
        <v>0</v>
      </c>
      <c r="AB323" s="48">
        <f t="shared" si="215"/>
        <v>0</v>
      </c>
      <c r="AC323" s="48">
        <f t="shared" si="215"/>
        <v>0</v>
      </c>
      <c r="AD323" s="42">
        <f t="shared" si="211"/>
        <v>0</v>
      </c>
      <c r="AE323" s="48">
        <f t="shared" ref="AE323:BB323" si="216">AE324+AE325</f>
        <v>0</v>
      </c>
      <c r="AF323" s="48">
        <f t="shared" si="216"/>
        <v>0</v>
      </c>
      <c r="AG323" s="48">
        <f t="shared" si="216"/>
        <v>0</v>
      </c>
      <c r="AH323" s="48">
        <f t="shared" si="216"/>
        <v>0</v>
      </c>
      <c r="AI323" s="48">
        <f t="shared" si="216"/>
        <v>0</v>
      </c>
      <c r="AJ323" s="48">
        <f t="shared" si="216"/>
        <v>0</v>
      </c>
      <c r="AK323" s="48">
        <f t="shared" si="216"/>
        <v>0</v>
      </c>
      <c r="AL323" s="48">
        <f t="shared" si="216"/>
        <v>0</v>
      </c>
      <c r="AM323" s="48">
        <f t="shared" si="216"/>
        <v>0</v>
      </c>
      <c r="AN323" s="48">
        <f t="shared" si="216"/>
        <v>0</v>
      </c>
      <c r="AO323" s="48">
        <f t="shared" si="216"/>
        <v>0</v>
      </c>
      <c r="AP323" s="48">
        <f t="shared" si="216"/>
        <v>0</v>
      </c>
      <c r="AQ323" s="48">
        <f t="shared" si="216"/>
        <v>0</v>
      </c>
      <c r="AR323" s="48">
        <f t="shared" si="216"/>
        <v>0</v>
      </c>
      <c r="AS323" s="48">
        <f t="shared" si="216"/>
        <v>0</v>
      </c>
      <c r="AT323" s="48">
        <f t="shared" si="216"/>
        <v>0</v>
      </c>
      <c r="AU323" s="48">
        <f t="shared" si="216"/>
        <v>0</v>
      </c>
      <c r="AV323" s="48">
        <f t="shared" si="216"/>
        <v>0</v>
      </c>
      <c r="AW323" s="48">
        <f t="shared" si="216"/>
        <v>0</v>
      </c>
      <c r="AX323" s="48">
        <f t="shared" si="216"/>
        <v>0</v>
      </c>
      <c r="AY323" s="48">
        <f t="shared" si="216"/>
        <v>0</v>
      </c>
      <c r="AZ323" s="48">
        <f t="shared" si="216"/>
        <v>0</v>
      </c>
      <c r="BA323" s="48">
        <f t="shared" si="216"/>
        <v>0</v>
      </c>
      <c r="BB323" s="48">
        <f t="shared" si="216"/>
        <v>0</v>
      </c>
    </row>
    <row r="324" spans="1:54" s="82" customFormat="1" ht="38.25" customHeight="1">
      <c r="A324" s="92" t="s">
        <v>28</v>
      </c>
      <c r="B324" s="83" t="s">
        <v>176</v>
      </c>
      <c r="C324" s="81"/>
      <c r="D324" s="62"/>
      <c r="E324" s="42">
        <f t="shared" si="184"/>
        <v>0</v>
      </c>
      <c r="F324" s="63"/>
      <c r="G324" s="63">
        <f t="shared" ref="G324:G362" si="217">H324+I324+J324+K324+L324+M324+N324+O324+P324+Q324+U324+V324+W324+X324</f>
        <v>0</v>
      </c>
      <c r="H324" s="63"/>
      <c r="I324" s="63"/>
      <c r="J324" s="63"/>
      <c r="K324" s="63"/>
      <c r="L324" s="63"/>
      <c r="M324" s="63"/>
      <c r="N324" s="63"/>
      <c r="O324" s="63"/>
      <c r="P324" s="63"/>
      <c r="Q324" s="63"/>
      <c r="R324" s="63"/>
      <c r="S324" s="63"/>
      <c r="T324" s="63"/>
      <c r="U324" s="63"/>
      <c r="V324" s="63"/>
      <c r="W324" s="63"/>
      <c r="X324" s="63"/>
      <c r="Y324" s="63"/>
      <c r="Z324" s="63"/>
      <c r="AA324" s="63">
        <f t="shared" ref="AA324:AA362" si="218">AB324+AC324</f>
        <v>0</v>
      </c>
      <c r="AB324" s="63"/>
      <c r="AC324" s="63"/>
      <c r="AD324" s="42">
        <f t="shared" si="211"/>
        <v>0</v>
      </c>
      <c r="AE324" s="63"/>
      <c r="AF324" s="63">
        <f t="shared" ref="AF324:AF342" si="219">AG324+AH324+AI324+AJ324+AK324+AL324+AM324+AN324+AO324+AP324+AT324+AU324+AV324+AW324</f>
        <v>0</v>
      </c>
      <c r="AG324" s="63"/>
      <c r="AH324" s="63"/>
      <c r="AI324" s="63"/>
      <c r="AJ324" s="63"/>
      <c r="AK324" s="63"/>
      <c r="AL324" s="63"/>
      <c r="AM324" s="63"/>
      <c r="AN324" s="63"/>
      <c r="AO324" s="63"/>
      <c r="AP324" s="63"/>
      <c r="AQ324" s="63"/>
      <c r="AR324" s="63"/>
      <c r="AS324" s="63"/>
      <c r="AT324" s="63"/>
      <c r="AU324" s="63"/>
      <c r="AV324" s="63"/>
      <c r="AW324" s="63"/>
      <c r="AX324" s="63"/>
      <c r="AY324" s="63"/>
      <c r="AZ324" s="63">
        <f t="shared" ref="AZ324:AZ342" si="220">BA324+BB324</f>
        <v>0</v>
      </c>
      <c r="BA324" s="63"/>
      <c r="BB324" s="63"/>
    </row>
    <row r="325" spans="1:54" s="82" customFormat="1" ht="25.5" customHeight="1">
      <c r="A325" s="92" t="s">
        <v>33</v>
      </c>
      <c r="B325" s="83" t="s">
        <v>177</v>
      </c>
      <c r="C325" s="81"/>
      <c r="D325" s="62"/>
      <c r="E325" s="42">
        <f t="shared" si="184"/>
        <v>0</v>
      </c>
      <c r="F325" s="63"/>
      <c r="G325" s="63">
        <f t="shared" si="217"/>
        <v>0</v>
      </c>
      <c r="H325" s="63"/>
      <c r="I325" s="63"/>
      <c r="J325" s="63"/>
      <c r="K325" s="63"/>
      <c r="L325" s="63"/>
      <c r="M325" s="63"/>
      <c r="N325" s="63"/>
      <c r="O325" s="63"/>
      <c r="P325" s="63"/>
      <c r="Q325" s="63"/>
      <c r="R325" s="63"/>
      <c r="S325" s="63"/>
      <c r="T325" s="63"/>
      <c r="U325" s="63"/>
      <c r="V325" s="63"/>
      <c r="W325" s="63"/>
      <c r="X325" s="63"/>
      <c r="Y325" s="63"/>
      <c r="Z325" s="63"/>
      <c r="AA325" s="63">
        <f t="shared" si="218"/>
        <v>0</v>
      </c>
      <c r="AB325" s="63"/>
      <c r="AC325" s="63"/>
      <c r="AD325" s="42">
        <f t="shared" si="211"/>
        <v>0</v>
      </c>
      <c r="AE325" s="63"/>
      <c r="AF325" s="63">
        <f t="shared" si="219"/>
        <v>0</v>
      </c>
      <c r="AG325" s="63"/>
      <c r="AH325" s="63"/>
      <c r="AI325" s="63"/>
      <c r="AJ325" s="63"/>
      <c r="AK325" s="63"/>
      <c r="AL325" s="63"/>
      <c r="AM325" s="63"/>
      <c r="AN325" s="63"/>
      <c r="AO325" s="63"/>
      <c r="AP325" s="63"/>
      <c r="AQ325" s="63"/>
      <c r="AR325" s="63"/>
      <c r="AS325" s="63"/>
      <c r="AT325" s="63"/>
      <c r="AU325" s="63"/>
      <c r="AV325" s="63"/>
      <c r="AW325" s="63"/>
      <c r="AX325" s="63"/>
      <c r="AY325" s="63"/>
      <c r="AZ325" s="63">
        <f t="shared" si="220"/>
        <v>0</v>
      </c>
      <c r="BA325" s="63"/>
      <c r="BB325" s="63"/>
    </row>
    <row r="326" spans="1:54" ht="12.75" customHeight="1">
      <c r="A326" s="108">
        <v>1</v>
      </c>
      <c r="B326" s="71" t="s">
        <v>627</v>
      </c>
      <c r="C326" s="66"/>
      <c r="D326" s="67"/>
      <c r="E326" s="42">
        <f t="shared" si="184"/>
        <v>0</v>
      </c>
      <c r="F326" s="68"/>
      <c r="G326" s="68">
        <f t="shared" si="217"/>
        <v>0</v>
      </c>
      <c r="H326" s="68"/>
      <c r="I326" s="68"/>
      <c r="J326" s="68"/>
      <c r="K326" s="68"/>
      <c r="L326" s="68"/>
      <c r="M326" s="68"/>
      <c r="N326" s="68"/>
      <c r="O326" s="68"/>
      <c r="P326" s="68"/>
      <c r="Q326" s="68"/>
      <c r="R326" s="68"/>
      <c r="S326" s="68"/>
      <c r="T326" s="68"/>
      <c r="U326" s="68"/>
      <c r="V326" s="68"/>
      <c r="W326" s="68"/>
      <c r="X326" s="68"/>
      <c r="Y326" s="68"/>
      <c r="Z326" s="68"/>
      <c r="AA326" s="68">
        <f t="shared" si="218"/>
        <v>0</v>
      </c>
      <c r="AB326" s="68"/>
      <c r="AC326" s="68"/>
      <c r="AD326" s="42">
        <f t="shared" si="211"/>
        <v>0</v>
      </c>
      <c r="AE326" s="68"/>
      <c r="AF326" s="68">
        <f t="shared" si="219"/>
        <v>0</v>
      </c>
      <c r="AG326" s="68"/>
      <c r="AH326" s="68"/>
      <c r="AI326" s="68"/>
      <c r="AJ326" s="68"/>
      <c r="AK326" s="68"/>
      <c r="AL326" s="68"/>
      <c r="AM326" s="68"/>
      <c r="AN326" s="68"/>
      <c r="AO326" s="68"/>
      <c r="AP326" s="68"/>
      <c r="AQ326" s="68"/>
      <c r="AR326" s="68"/>
      <c r="AS326" s="68"/>
      <c r="AT326" s="68"/>
      <c r="AU326" s="68"/>
      <c r="AV326" s="68"/>
      <c r="AW326" s="68"/>
      <c r="AX326" s="68"/>
      <c r="AY326" s="68"/>
      <c r="AZ326" s="68">
        <f t="shared" si="220"/>
        <v>0</v>
      </c>
      <c r="BA326" s="68"/>
      <c r="BB326" s="68"/>
    </row>
    <row r="327" spans="1:54" ht="25.5" customHeight="1">
      <c r="A327" s="108">
        <v>2</v>
      </c>
      <c r="B327" s="71" t="s">
        <v>391</v>
      </c>
      <c r="C327" s="66"/>
      <c r="D327" s="67"/>
      <c r="E327" s="42">
        <f t="shared" si="184"/>
        <v>0</v>
      </c>
      <c r="F327" s="68"/>
      <c r="G327" s="68">
        <f t="shared" si="217"/>
        <v>0</v>
      </c>
      <c r="H327" s="68"/>
      <c r="I327" s="68"/>
      <c r="J327" s="68"/>
      <c r="K327" s="68"/>
      <c r="L327" s="68"/>
      <c r="M327" s="68"/>
      <c r="N327" s="68"/>
      <c r="O327" s="68"/>
      <c r="P327" s="68"/>
      <c r="Q327" s="68"/>
      <c r="R327" s="68"/>
      <c r="S327" s="68"/>
      <c r="T327" s="68"/>
      <c r="U327" s="68"/>
      <c r="V327" s="68"/>
      <c r="W327" s="68"/>
      <c r="X327" s="68"/>
      <c r="Y327" s="68"/>
      <c r="Z327" s="68"/>
      <c r="AA327" s="68">
        <f t="shared" si="218"/>
        <v>0</v>
      </c>
      <c r="AB327" s="68"/>
      <c r="AC327" s="68"/>
      <c r="AD327" s="42">
        <f t="shared" si="211"/>
        <v>0</v>
      </c>
      <c r="AE327" s="68"/>
      <c r="AF327" s="68">
        <f t="shared" si="219"/>
        <v>0</v>
      </c>
      <c r="AG327" s="68"/>
      <c r="AH327" s="68"/>
      <c r="AI327" s="68"/>
      <c r="AJ327" s="68"/>
      <c r="AK327" s="68"/>
      <c r="AL327" s="68"/>
      <c r="AM327" s="68"/>
      <c r="AN327" s="68"/>
      <c r="AO327" s="68"/>
      <c r="AP327" s="68"/>
      <c r="AQ327" s="68"/>
      <c r="AR327" s="68"/>
      <c r="AS327" s="68"/>
      <c r="AT327" s="68"/>
      <c r="AU327" s="68"/>
      <c r="AV327" s="68"/>
      <c r="AW327" s="68"/>
      <c r="AX327" s="68"/>
      <c r="AY327" s="68"/>
      <c r="AZ327" s="68">
        <f t="shared" si="220"/>
        <v>0</v>
      </c>
      <c r="BA327" s="68"/>
      <c r="BB327" s="68"/>
    </row>
    <row r="328" spans="1:54" ht="15" customHeight="1">
      <c r="A328" s="108">
        <v>3</v>
      </c>
      <c r="B328" s="109" t="s">
        <v>628</v>
      </c>
      <c r="C328" s="66"/>
      <c r="D328" s="67"/>
      <c r="E328" s="42">
        <f t="shared" si="184"/>
        <v>0</v>
      </c>
      <c r="F328" s="68"/>
      <c r="G328" s="68">
        <f t="shared" si="217"/>
        <v>0</v>
      </c>
      <c r="H328" s="68"/>
      <c r="I328" s="68"/>
      <c r="J328" s="68"/>
      <c r="K328" s="68"/>
      <c r="L328" s="68"/>
      <c r="M328" s="68"/>
      <c r="N328" s="68"/>
      <c r="O328" s="68"/>
      <c r="P328" s="68"/>
      <c r="Q328" s="68"/>
      <c r="R328" s="68"/>
      <c r="S328" s="68"/>
      <c r="T328" s="68"/>
      <c r="U328" s="68"/>
      <c r="V328" s="68"/>
      <c r="W328" s="68"/>
      <c r="X328" s="68"/>
      <c r="Y328" s="68"/>
      <c r="Z328" s="68"/>
      <c r="AA328" s="68">
        <f t="shared" si="218"/>
        <v>0</v>
      </c>
      <c r="AB328" s="68"/>
      <c r="AC328" s="68"/>
      <c r="AD328" s="42">
        <f t="shared" si="211"/>
        <v>0</v>
      </c>
      <c r="AE328" s="68"/>
      <c r="AF328" s="68">
        <f t="shared" si="219"/>
        <v>0</v>
      </c>
      <c r="AG328" s="68"/>
      <c r="AH328" s="68"/>
      <c r="AI328" s="68"/>
      <c r="AJ328" s="68"/>
      <c r="AK328" s="68"/>
      <c r="AL328" s="68"/>
      <c r="AM328" s="68"/>
      <c r="AN328" s="68"/>
      <c r="AO328" s="68"/>
      <c r="AP328" s="68"/>
      <c r="AQ328" s="68"/>
      <c r="AR328" s="68"/>
      <c r="AS328" s="68"/>
      <c r="AT328" s="68"/>
      <c r="AU328" s="68"/>
      <c r="AV328" s="68"/>
      <c r="AW328" s="68"/>
      <c r="AX328" s="68"/>
      <c r="AY328" s="68"/>
      <c r="AZ328" s="68">
        <f t="shared" si="220"/>
        <v>0</v>
      </c>
      <c r="BA328" s="68"/>
      <c r="BB328" s="68"/>
    </row>
    <row r="329" spans="1:54" ht="16.5" customHeight="1">
      <c r="A329" s="108">
        <v>4</v>
      </c>
      <c r="B329" s="71" t="s">
        <v>629</v>
      </c>
      <c r="C329" s="66"/>
      <c r="D329" s="67"/>
      <c r="E329" s="42">
        <f t="shared" si="184"/>
        <v>0</v>
      </c>
      <c r="F329" s="68"/>
      <c r="G329" s="68">
        <f t="shared" si="217"/>
        <v>0</v>
      </c>
      <c r="H329" s="68"/>
      <c r="I329" s="68"/>
      <c r="J329" s="68"/>
      <c r="K329" s="68"/>
      <c r="L329" s="68"/>
      <c r="M329" s="68"/>
      <c r="N329" s="68"/>
      <c r="O329" s="68"/>
      <c r="P329" s="68"/>
      <c r="Q329" s="68"/>
      <c r="R329" s="68"/>
      <c r="S329" s="68"/>
      <c r="T329" s="68"/>
      <c r="U329" s="68"/>
      <c r="V329" s="68"/>
      <c r="W329" s="68"/>
      <c r="X329" s="68"/>
      <c r="Y329" s="68"/>
      <c r="Z329" s="68"/>
      <c r="AA329" s="68">
        <f t="shared" si="218"/>
        <v>0</v>
      </c>
      <c r="AB329" s="68"/>
      <c r="AC329" s="68"/>
      <c r="AD329" s="42">
        <f t="shared" si="211"/>
        <v>0</v>
      </c>
      <c r="AE329" s="68"/>
      <c r="AF329" s="68">
        <f t="shared" si="219"/>
        <v>0</v>
      </c>
      <c r="AG329" s="68"/>
      <c r="AH329" s="68"/>
      <c r="AI329" s="68"/>
      <c r="AJ329" s="68"/>
      <c r="AK329" s="68"/>
      <c r="AL329" s="68"/>
      <c r="AM329" s="68"/>
      <c r="AN329" s="68"/>
      <c r="AO329" s="68"/>
      <c r="AP329" s="68"/>
      <c r="AQ329" s="68"/>
      <c r="AR329" s="68"/>
      <c r="AS329" s="68"/>
      <c r="AT329" s="68"/>
      <c r="AU329" s="68"/>
      <c r="AV329" s="68"/>
      <c r="AW329" s="68"/>
      <c r="AX329" s="68"/>
      <c r="AY329" s="68"/>
      <c r="AZ329" s="68">
        <f t="shared" si="220"/>
        <v>0</v>
      </c>
      <c r="BA329" s="68"/>
      <c r="BB329" s="68"/>
    </row>
    <row r="330" spans="1:54" ht="38.25" customHeight="1">
      <c r="A330" s="108">
        <v>5</v>
      </c>
      <c r="B330" s="71" t="s">
        <v>379</v>
      </c>
      <c r="C330" s="66"/>
      <c r="D330" s="67"/>
      <c r="E330" s="42">
        <f t="shared" si="184"/>
        <v>0</v>
      </c>
      <c r="F330" s="68"/>
      <c r="G330" s="68">
        <f t="shared" si="217"/>
        <v>0</v>
      </c>
      <c r="H330" s="68"/>
      <c r="I330" s="68"/>
      <c r="J330" s="68"/>
      <c r="K330" s="68"/>
      <c r="L330" s="68"/>
      <c r="M330" s="68"/>
      <c r="N330" s="68"/>
      <c r="O330" s="68"/>
      <c r="P330" s="68"/>
      <c r="Q330" s="68"/>
      <c r="R330" s="68"/>
      <c r="S330" s="68"/>
      <c r="T330" s="68"/>
      <c r="U330" s="68"/>
      <c r="V330" s="68"/>
      <c r="W330" s="68"/>
      <c r="X330" s="68"/>
      <c r="Y330" s="68"/>
      <c r="Z330" s="68"/>
      <c r="AA330" s="68">
        <f t="shared" si="218"/>
        <v>0</v>
      </c>
      <c r="AB330" s="68"/>
      <c r="AC330" s="68"/>
      <c r="AD330" s="42">
        <f t="shared" si="211"/>
        <v>0</v>
      </c>
      <c r="AE330" s="68"/>
      <c r="AF330" s="68">
        <f t="shared" si="219"/>
        <v>0</v>
      </c>
      <c r="AG330" s="68"/>
      <c r="AH330" s="68"/>
      <c r="AI330" s="68"/>
      <c r="AJ330" s="68"/>
      <c r="AK330" s="68"/>
      <c r="AL330" s="68"/>
      <c r="AM330" s="68"/>
      <c r="AN330" s="68"/>
      <c r="AO330" s="68"/>
      <c r="AP330" s="68"/>
      <c r="AQ330" s="68"/>
      <c r="AR330" s="68"/>
      <c r="AS330" s="68"/>
      <c r="AT330" s="68"/>
      <c r="AU330" s="68"/>
      <c r="AV330" s="68"/>
      <c r="AW330" s="68"/>
      <c r="AX330" s="68"/>
      <c r="AY330" s="68"/>
      <c r="AZ330" s="68">
        <f t="shared" si="220"/>
        <v>0</v>
      </c>
      <c r="BA330" s="68"/>
      <c r="BB330" s="68"/>
    </row>
    <row r="331" spans="1:54" ht="25.5" customHeight="1">
      <c r="A331" s="108">
        <v>6</v>
      </c>
      <c r="B331" s="71" t="s">
        <v>354</v>
      </c>
      <c r="C331" s="66"/>
      <c r="D331" s="67"/>
      <c r="E331" s="42">
        <f t="shared" si="184"/>
        <v>0</v>
      </c>
      <c r="F331" s="68"/>
      <c r="G331" s="68">
        <f t="shared" si="217"/>
        <v>0</v>
      </c>
      <c r="H331" s="68"/>
      <c r="I331" s="68"/>
      <c r="J331" s="68"/>
      <c r="K331" s="68"/>
      <c r="L331" s="68"/>
      <c r="M331" s="68"/>
      <c r="N331" s="68"/>
      <c r="O331" s="68"/>
      <c r="P331" s="68"/>
      <c r="Q331" s="68"/>
      <c r="R331" s="68"/>
      <c r="S331" s="68"/>
      <c r="T331" s="68"/>
      <c r="U331" s="68"/>
      <c r="V331" s="68"/>
      <c r="W331" s="68"/>
      <c r="X331" s="68"/>
      <c r="Y331" s="68"/>
      <c r="Z331" s="68"/>
      <c r="AA331" s="68">
        <f t="shared" si="218"/>
        <v>0</v>
      </c>
      <c r="AB331" s="68"/>
      <c r="AC331" s="68"/>
      <c r="AD331" s="42">
        <f t="shared" si="211"/>
        <v>0</v>
      </c>
      <c r="AE331" s="68"/>
      <c r="AF331" s="68">
        <f t="shared" si="219"/>
        <v>0</v>
      </c>
      <c r="AG331" s="68"/>
      <c r="AH331" s="68"/>
      <c r="AI331" s="68"/>
      <c r="AJ331" s="68"/>
      <c r="AK331" s="68"/>
      <c r="AL331" s="68"/>
      <c r="AM331" s="68"/>
      <c r="AN331" s="68"/>
      <c r="AO331" s="68"/>
      <c r="AP331" s="68"/>
      <c r="AQ331" s="68"/>
      <c r="AR331" s="68"/>
      <c r="AS331" s="68"/>
      <c r="AT331" s="68"/>
      <c r="AU331" s="68"/>
      <c r="AV331" s="68"/>
      <c r="AW331" s="68"/>
      <c r="AX331" s="68"/>
      <c r="AY331" s="68"/>
      <c r="AZ331" s="68">
        <f t="shared" si="220"/>
        <v>0</v>
      </c>
      <c r="BA331" s="68"/>
      <c r="BB331" s="68"/>
    </row>
    <row r="332" spans="1:54" ht="12.75" customHeight="1">
      <c r="A332" s="108">
        <v>7</v>
      </c>
      <c r="B332" s="71" t="s">
        <v>416</v>
      </c>
      <c r="C332" s="66"/>
      <c r="D332" s="67"/>
      <c r="E332" s="42">
        <f t="shared" si="184"/>
        <v>0</v>
      </c>
      <c r="F332" s="68"/>
      <c r="G332" s="68">
        <f t="shared" si="217"/>
        <v>0</v>
      </c>
      <c r="H332" s="68"/>
      <c r="I332" s="68"/>
      <c r="J332" s="68"/>
      <c r="K332" s="68"/>
      <c r="L332" s="68"/>
      <c r="M332" s="68"/>
      <c r="N332" s="68"/>
      <c r="O332" s="68"/>
      <c r="P332" s="68"/>
      <c r="Q332" s="68"/>
      <c r="R332" s="68"/>
      <c r="S332" s="68"/>
      <c r="T332" s="68"/>
      <c r="U332" s="68"/>
      <c r="V332" s="68"/>
      <c r="W332" s="68"/>
      <c r="X332" s="68"/>
      <c r="Y332" s="68"/>
      <c r="Z332" s="68"/>
      <c r="AA332" s="68">
        <f t="shared" si="218"/>
        <v>0</v>
      </c>
      <c r="AB332" s="68"/>
      <c r="AC332" s="68"/>
      <c r="AD332" s="42">
        <f t="shared" si="211"/>
        <v>0</v>
      </c>
      <c r="AE332" s="68"/>
      <c r="AF332" s="68">
        <f t="shared" si="219"/>
        <v>0</v>
      </c>
      <c r="AG332" s="68"/>
      <c r="AH332" s="68"/>
      <c r="AI332" s="68"/>
      <c r="AJ332" s="68"/>
      <c r="AK332" s="68"/>
      <c r="AL332" s="68"/>
      <c r="AM332" s="68"/>
      <c r="AN332" s="68"/>
      <c r="AO332" s="68"/>
      <c r="AP332" s="68"/>
      <c r="AQ332" s="68"/>
      <c r="AR332" s="68"/>
      <c r="AS332" s="68"/>
      <c r="AT332" s="68"/>
      <c r="AU332" s="68"/>
      <c r="AV332" s="68"/>
      <c r="AW332" s="68"/>
      <c r="AX332" s="68"/>
      <c r="AY332" s="68"/>
      <c r="AZ332" s="68">
        <f t="shared" si="220"/>
        <v>0</v>
      </c>
      <c r="BA332" s="68"/>
      <c r="BB332" s="68"/>
    </row>
    <row r="333" spans="1:54" ht="25.5" customHeight="1">
      <c r="A333" s="108">
        <v>8</v>
      </c>
      <c r="B333" s="71" t="s">
        <v>620</v>
      </c>
      <c r="C333" s="66"/>
      <c r="D333" s="67"/>
      <c r="E333" s="42">
        <f t="shared" si="184"/>
        <v>0</v>
      </c>
      <c r="F333" s="68"/>
      <c r="G333" s="68">
        <f t="shared" si="217"/>
        <v>0</v>
      </c>
      <c r="H333" s="68"/>
      <c r="I333" s="68"/>
      <c r="J333" s="68"/>
      <c r="K333" s="68"/>
      <c r="L333" s="68"/>
      <c r="M333" s="68"/>
      <c r="N333" s="68"/>
      <c r="O333" s="68"/>
      <c r="P333" s="68"/>
      <c r="Q333" s="68"/>
      <c r="R333" s="68"/>
      <c r="S333" s="68"/>
      <c r="T333" s="68"/>
      <c r="U333" s="68"/>
      <c r="V333" s="68"/>
      <c r="W333" s="68"/>
      <c r="X333" s="68"/>
      <c r="Y333" s="68"/>
      <c r="Z333" s="68"/>
      <c r="AA333" s="68">
        <f t="shared" si="218"/>
        <v>0</v>
      </c>
      <c r="AB333" s="68"/>
      <c r="AC333" s="68"/>
      <c r="AD333" s="42">
        <f t="shared" si="211"/>
        <v>0</v>
      </c>
      <c r="AE333" s="68"/>
      <c r="AF333" s="68">
        <f t="shared" si="219"/>
        <v>0</v>
      </c>
      <c r="AG333" s="68"/>
      <c r="AH333" s="68"/>
      <c r="AI333" s="68"/>
      <c r="AJ333" s="68"/>
      <c r="AK333" s="68"/>
      <c r="AL333" s="68"/>
      <c r="AM333" s="68"/>
      <c r="AN333" s="68"/>
      <c r="AO333" s="68"/>
      <c r="AP333" s="68"/>
      <c r="AQ333" s="68"/>
      <c r="AR333" s="68"/>
      <c r="AS333" s="68"/>
      <c r="AT333" s="68"/>
      <c r="AU333" s="68"/>
      <c r="AV333" s="68"/>
      <c r="AW333" s="68"/>
      <c r="AX333" s="68"/>
      <c r="AY333" s="68"/>
      <c r="AZ333" s="68">
        <f t="shared" si="220"/>
        <v>0</v>
      </c>
      <c r="BA333" s="68"/>
      <c r="BB333" s="68"/>
    </row>
    <row r="334" spans="1:54" ht="38.25" customHeight="1">
      <c r="A334" s="108">
        <v>9</v>
      </c>
      <c r="B334" s="71" t="s">
        <v>361</v>
      </c>
      <c r="C334" s="66"/>
      <c r="D334" s="67"/>
      <c r="E334" s="42">
        <f t="shared" ref="E334:E366" si="221">F334+G334+Y334+Z334+AA334</f>
        <v>0</v>
      </c>
      <c r="F334" s="68"/>
      <c r="G334" s="68">
        <f t="shared" si="217"/>
        <v>0</v>
      </c>
      <c r="H334" s="68"/>
      <c r="I334" s="68"/>
      <c r="J334" s="68"/>
      <c r="K334" s="68"/>
      <c r="L334" s="68"/>
      <c r="M334" s="68"/>
      <c r="N334" s="68"/>
      <c r="O334" s="68"/>
      <c r="P334" s="68"/>
      <c r="Q334" s="68"/>
      <c r="R334" s="68"/>
      <c r="S334" s="68"/>
      <c r="T334" s="68"/>
      <c r="U334" s="68"/>
      <c r="V334" s="68"/>
      <c r="W334" s="68"/>
      <c r="X334" s="68"/>
      <c r="Y334" s="68"/>
      <c r="Z334" s="68"/>
      <c r="AA334" s="68">
        <f t="shared" si="218"/>
        <v>0</v>
      </c>
      <c r="AB334" s="68"/>
      <c r="AC334" s="68"/>
      <c r="AD334" s="42">
        <f t="shared" ref="AD334:AD366" si="222">AE334+AF334+AX334+AY334+AZ334</f>
        <v>0</v>
      </c>
      <c r="AE334" s="68"/>
      <c r="AF334" s="68">
        <f t="shared" si="219"/>
        <v>0</v>
      </c>
      <c r="AG334" s="68"/>
      <c r="AH334" s="68"/>
      <c r="AI334" s="68"/>
      <c r="AJ334" s="68"/>
      <c r="AK334" s="68"/>
      <c r="AL334" s="68"/>
      <c r="AM334" s="68"/>
      <c r="AN334" s="68"/>
      <c r="AO334" s="68"/>
      <c r="AP334" s="68"/>
      <c r="AQ334" s="68"/>
      <c r="AR334" s="68"/>
      <c r="AS334" s="68"/>
      <c r="AT334" s="68"/>
      <c r="AU334" s="68"/>
      <c r="AV334" s="68"/>
      <c r="AW334" s="68"/>
      <c r="AX334" s="68"/>
      <c r="AY334" s="68"/>
      <c r="AZ334" s="68">
        <f t="shared" si="220"/>
        <v>0</v>
      </c>
      <c r="BA334" s="68"/>
      <c r="BB334" s="68"/>
    </row>
    <row r="335" spans="1:54" ht="25.5" customHeight="1">
      <c r="A335" s="108">
        <v>10</v>
      </c>
      <c r="B335" s="110" t="s">
        <v>630</v>
      </c>
      <c r="C335" s="66"/>
      <c r="D335" s="67"/>
      <c r="E335" s="42">
        <f t="shared" si="221"/>
        <v>0</v>
      </c>
      <c r="F335" s="68"/>
      <c r="G335" s="68">
        <f t="shared" si="217"/>
        <v>0</v>
      </c>
      <c r="H335" s="68"/>
      <c r="I335" s="68"/>
      <c r="J335" s="68"/>
      <c r="K335" s="68"/>
      <c r="L335" s="68"/>
      <c r="M335" s="68"/>
      <c r="N335" s="68"/>
      <c r="O335" s="68"/>
      <c r="P335" s="68"/>
      <c r="Q335" s="68"/>
      <c r="R335" s="68"/>
      <c r="S335" s="68"/>
      <c r="T335" s="68"/>
      <c r="U335" s="68"/>
      <c r="V335" s="68"/>
      <c r="W335" s="68"/>
      <c r="X335" s="68"/>
      <c r="Y335" s="68"/>
      <c r="Z335" s="68"/>
      <c r="AA335" s="68">
        <f t="shared" si="218"/>
        <v>0</v>
      </c>
      <c r="AB335" s="68"/>
      <c r="AC335" s="68"/>
      <c r="AD335" s="42">
        <f t="shared" si="222"/>
        <v>0</v>
      </c>
      <c r="AE335" s="68"/>
      <c r="AF335" s="68">
        <f t="shared" si="219"/>
        <v>0</v>
      </c>
      <c r="AG335" s="68"/>
      <c r="AH335" s="68"/>
      <c r="AI335" s="68"/>
      <c r="AJ335" s="68"/>
      <c r="AK335" s="68"/>
      <c r="AL335" s="68"/>
      <c r="AM335" s="68"/>
      <c r="AN335" s="68"/>
      <c r="AO335" s="68"/>
      <c r="AP335" s="68"/>
      <c r="AQ335" s="68"/>
      <c r="AR335" s="68"/>
      <c r="AS335" s="68"/>
      <c r="AT335" s="68"/>
      <c r="AU335" s="68"/>
      <c r="AV335" s="68"/>
      <c r="AW335" s="68"/>
      <c r="AX335" s="68"/>
      <c r="AY335" s="68"/>
      <c r="AZ335" s="68">
        <f t="shared" si="220"/>
        <v>0</v>
      </c>
      <c r="BA335" s="68"/>
      <c r="BB335" s="68"/>
    </row>
    <row r="336" spans="1:54" ht="25.5" customHeight="1">
      <c r="A336" s="108">
        <v>11</v>
      </c>
      <c r="B336" s="110" t="s">
        <v>631</v>
      </c>
      <c r="C336" s="66"/>
      <c r="D336" s="67"/>
      <c r="E336" s="42">
        <f t="shared" si="221"/>
        <v>0</v>
      </c>
      <c r="F336" s="68"/>
      <c r="G336" s="68">
        <f t="shared" si="217"/>
        <v>0</v>
      </c>
      <c r="H336" s="68"/>
      <c r="I336" s="68"/>
      <c r="J336" s="68"/>
      <c r="K336" s="68"/>
      <c r="L336" s="68"/>
      <c r="M336" s="68"/>
      <c r="N336" s="68"/>
      <c r="O336" s="68"/>
      <c r="P336" s="68"/>
      <c r="Q336" s="68"/>
      <c r="R336" s="68"/>
      <c r="S336" s="68"/>
      <c r="T336" s="68"/>
      <c r="U336" s="68"/>
      <c r="V336" s="68"/>
      <c r="W336" s="68"/>
      <c r="X336" s="68"/>
      <c r="Y336" s="68"/>
      <c r="Z336" s="68"/>
      <c r="AA336" s="68">
        <f t="shared" si="218"/>
        <v>0</v>
      </c>
      <c r="AB336" s="68"/>
      <c r="AC336" s="68"/>
      <c r="AD336" s="42">
        <f t="shared" si="222"/>
        <v>0</v>
      </c>
      <c r="AE336" s="68"/>
      <c r="AF336" s="68">
        <f t="shared" si="219"/>
        <v>0</v>
      </c>
      <c r="AG336" s="68"/>
      <c r="AH336" s="68"/>
      <c r="AI336" s="68"/>
      <c r="AJ336" s="68"/>
      <c r="AK336" s="68"/>
      <c r="AL336" s="68"/>
      <c r="AM336" s="68"/>
      <c r="AN336" s="68"/>
      <c r="AO336" s="68"/>
      <c r="AP336" s="68"/>
      <c r="AQ336" s="68"/>
      <c r="AR336" s="68"/>
      <c r="AS336" s="68"/>
      <c r="AT336" s="68"/>
      <c r="AU336" s="68"/>
      <c r="AV336" s="68"/>
      <c r="AW336" s="68"/>
      <c r="AX336" s="68"/>
      <c r="AY336" s="68"/>
      <c r="AZ336" s="68">
        <f t="shared" si="220"/>
        <v>0</v>
      </c>
      <c r="BA336" s="68"/>
      <c r="BB336" s="68"/>
    </row>
    <row r="337" spans="1:54" ht="25.5" customHeight="1">
      <c r="A337" s="108">
        <v>12</v>
      </c>
      <c r="B337" s="110" t="s">
        <v>632</v>
      </c>
      <c r="C337" s="66"/>
      <c r="D337" s="67"/>
      <c r="E337" s="42">
        <f t="shared" si="221"/>
        <v>0</v>
      </c>
      <c r="F337" s="68"/>
      <c r="G337" s="68">
        <f t="shared" si="217"/>
        <v>0</v>
      </c>
      <c r="H337" s="68"/>
      <c r="I337" s="68"/>
      <c r="J337" s="68"/>
      <c r="K337" s="68"/>
      <c r="L337" s="68"/>
      <c r="M337" s="68"/>
      <c r="N337" s="68"/>
      <c r="O337" s="68"/>
      <c r="P337" s="68"/>
      <c r="Q337" s="68"/>
      <c r="R337" s="68"/>
      <c r="S337" s="68"/>
      <c r="T337" s="68"/>
      <c r="U337" s="68"/>
      <c r="V337" s="68"/>
      <c r="W337" s="68"/>
      <c r="X337" s="68"/>
      <c r="Y337" s="68"/>
      <c r="Z337" s="68"/>
      <c r="AA337" s="68">
        <f t="shared" si="218"/>
        <v>0</v>
      </c>
      <c r="AB337" s="68"/>
      <c r="AC337" s="68"/>
      <c r="AD337" s="42">
        <f t="shared" si="222"/>
        <v>0</v>
      </c>
      <c r="AE337" s="68"/>
      <c r="AF337" s="68">
        <f t="shared" si="219"/>
        <v>0</v>
      </c>
      <c r="AG337" s="68"/>
      <c r="AH337" s="68"/>
      <c r="AI337" s="68"/>
      <c r="AJ337" s="68"/>
      <c r="AK337" s="68"/>
      <c r="AL337" s="68"/>
      <c r="AM337" s="68"/>
      <c r="AN337" s="68"/>
      <c r="AO337" s="68"/>
      <c r="AP337" s="68"/>
      <c r="AQ337" s="68"/>
      <c r="AR337" s="68"/>
      <c r="AS337" s="68"/>
      <c r="AT337" s="68"/>
      <c r="AU337" s="68"/>
      <c r="AV337" s="68"/>
      <c r="AW337" s="68"/>
      <c r="AX337" s="68"/>
      <c r="AY337" s="68"/>
      <c r="AZ337" s="68">
        <f t="shared" si="220"/>
        <v>0</v>
      </c>
      <c r="BA337" s="68"/>
      <c r="BB337" s="68"/>
    </row>
    <row r="338" spans="1:54" ht="12.75" customHeight="1">
      <c r="A338" s="108">
        <v>13</v>
      </c>
      <c r="B338" s="110" t="s">
        <v>633</v>
      </c>
      <c r="C338" s="66"/>
      <c r="D338" s="67"/>
      <c r="E338" s="42">
        <f t="shared" si="221"/>
        <v>0</v>
      </c>
      <c r="F338" s="68"/>
      <c r="G338" s="68">
        <f t="shared" si="217"/>
        <v>0</v>
      </c>
      <c r="H338" s="68"/>
      <c r="I338" s="68"/>
      <c r="J338" s="68"/>
      <c r="K338" s="68"/>
      <c r="L338" s="68"/>
      <c r="M338" s="68"/>
      <c r="N338" s="68"/>
      <c r="O338" s="68"/>
      <c r="P338" s="68"/>
      <c r="Q338" s="68"/>
      <c r="R338" s="68"/>
      <c r="S338" s="68"/>
      <c r="T338" s="68"/>
      <c r="U338" s="68"/>
      <c r="V338" s="68"/>
      <c r="W338" s="68"/>
      <c r="X338" s="68"/>
      <c r="Y338" s="68"/>
      <c r="Z338" s="68"/>
      <c r="AA338" s="68">
        <f t="shared" si="218"/>
        <v>0</v>
      </c>
      <c r="AB338" s="68"/>
      <c r="AC338" s="68"/>
      <c r="AD338" s="42">
        <f t="shared" si="222"/>
        <v>0</v>
      </c>
      <c r="AE338" s="68"/>
      <c r="AF338" s="68">
        <f t="shared" si="219"/>
        <v>0</v>
      </c>
      <c r="AG338" s="68"/>
      <c r="AH338" s="68"/>
      <c r="AI338" s="68"/>
      <c r="AJ338" s="68"/>
      <c r="AK338" s="68"/>
      <c r="AL338" s="68"/>
      <c r="AM338" s="68"/>
      <c r="AN338" s="68"/>
      <c r="AO338" s="68"/>
      <c r="AP338" s="68"/>
      <c r="AQ338" s="68"/>
      <c r="AR338" s="68"/>
      <c r="AS338" s="68"/>
      <c r="AT338" s="68"/>
      <c r="AU338" s="68"/>
      <c r="AV338" s="68"/>
      <c r="AW338" s="68"/>
      <c r="AX338" s="68"/>
      <c r="AY338" s="68"/>
      <c r="AZ338" s="68">
        <f t="shared" si="220"/>
        <v>0</v>
      </c>
      <c r="BA338" s="68"/>
      <c r="BB338" s="68"/>
    </row>
    <row r="339" spans="1:54" ht="15" customHeight="1">
      <c r="A339" s="108">
        <v>14</v>
      </c>
      <c r="B339" s="110" t="s">
        <v>634</v>
      </c>
      <c r="C339" s="66"/>
      <c r="D339" s="67"/>
      <c r="E339" s="42">
        <f t="shared" si="221"/>
        <v>0</v>
      </c>
      <c r="F339" s="68"/>
      <c r="G339" s="68">
        <f t="shared" si="217"/>
        <v>0</v>
      </c>
      <c r="H339" s="68"/>
      <c r="I339" s="68"/>
      <c r="J339" s="68"/>
      <c r="K339" s="68"/>
      <c r="L339" s="68"/>
      <c r="M339" s="68"/>
      <c r="N339" s="68"/>
      <c r="O339" s="68"/>
      <c r="P339" s="68"/>
      <c r="Q339" s="68"/>
      <c r="R339" s="68"/>
      <c r="S339" s="68"/>
      <c r="T339" s="68"/>
      <c r="U339" s="68"/>
      <c r="V339" s="68"/>
      <c r="W339" s="68"/>
      <c r="X339" s="68"/>
      <c r="Y339" s="68"/>
      <c r="Z339" s="68"/>
      <c r="AA339" s="68">
        <f t="shared" si="218"/>
        <v>0</v>
      </c>
      <c r="AB339" s="68"/>
      <c r="AC339" s="68"/>
      <c r="AD339" s="42">
        <f t="shared" si="222"/>
        <v>0</v>
      </c>
      <c r="AE339" s="68"/>
      <c r="AF339" s="68">
        <f t="shared" si="219"/>
        <v>0</v>
      </c>
      <c r="AG339" s="68"/>
      <c r="AH339" s="68"/>
      <c r="AI339" s="68"/>
      <c r="AJ339" s="68"/>
      <c r="AK339" s="68"/>
      <c r="AL339" s="68"/>
      <c r="AM339" s="68"/>
      <c r="AN339" s="68"/>
      <c r="AO339" s="68"/>
      <c r="AP339" s="68"/>
      <c r="AQ339" s="68"/>
      <c r="AR339" s="68"/>
      <c r="AS339" s="68"/>
      <c r="AT339" s="68"/>
      <c r="AU339" s="68"/>
      <c r="AV339" s="68"/>
      <c r="AW339" s="68"/>
      <c r="AX339" s="68"/>
      <c r="AY339" s="68"/>
      <c r="AZ339" s="68">
        <f t="shared" si="220"/>
        <v>0</v>
      </c>
      <c r="BA339" s="68"/>
      <c r="BB339" s="68"/>
    </row>
    <row r="340" spans="1:54" ht="12.75" customHeight="1">
      <c r="A340" s="108">
        <v>15</v>
      </c>
      <c r="B340" s="110" t="s">
        <v>635</v>
      </c>
      <c r="C340" s="66"/>
      <c r="D340" s="67"/>
      <c r="E340" s="42">
        <f t="shared" si="221"/>
        <v>0</v>
      </c>
      <c r="F340" s="68"/>
      <c r="G340" s="68">
        <f t="shared" si="217"/>
        <v>0</v>
      </c>
      <c r="H340" s="68"/>
      <c r="I340" s="68"/>
      <c r="J340" s="68"/>
      <c r="K340" s="68"/>
      <c r="L340" s="68"/>
      <c r="M340" s="68"/>
      <c r="N340" s="68"/>
      <c r="O340" s="68"/>
      <c r="P340" s="68"/>
      <c r="Q340" s="68"/>
      <c r="R340" s="68"/>
      <c r="S340" s="68"/>
      <c r="T340" s="68"/>
      <c r="U340" s="68"/>
      <c r="V340" s="68"/>
      <c r="W340" s="68"/>
      <c r="X340" s="68"/>
      <c r="Y340" s="68"/>
      <c r="Z340" s="68"/>
      <c r="AA340" s="68">
        <f t="shared" si="218"/>
        <v>0</v>
      </c>
      <c r="AB340" s="68"/>
      <c r="AC340" s="68"/>
      <c r="AD340" s="42">
        <f t="shared" si="222"/>
        <v>0</v>
      </c>
      <c r="AE340" s="68"/>
      <c r="AF340" s="68">
        <f t="shared" si="219"/>
        <v>0</v>
      </c>
      <c r="AG340" s="68"/>
      <c r="AH340" s="68"/>
      <c r="AI340" s="68"/>
      <c r="AJ340" s="68"/>
      <c r="AK340" s="68"/>
      <c r="AL340" s="68"/>
      <c r="AM340" s="68"/>
      <c r="AN340" s="68"/>
      <c r="AO340" s="68"/>
      <c r="AP340" s="68"/>
      <c r="AQ340" s="68"/>
      <c r="AR340" s="68"/>
      <c r="AS340" s="68"/>
      <c r="AT340" s="68"/>
      <c r="AU340" s="68"/>
      <c r="AV340" s="68"/>
      <c r="AW340" s="68"/>
      <c r="AX340" s="68"/>
      <c r="AY340" s="68"/>
      <c r="AZ340" s="68">
        <f t="shared" si="220"/>
        <v>0</v>
      </c>
      <c r="BA340" s="68"/>
      <c r="BB340" s="68"/>
    </row>
    <row r="341" spans="1:54" ht="38.25" customHeight="1">
      <c r="A341" s="108">
        <v>16</v>
      </c>
      <c r="B341" s="110" t="s">
        <v>636</v>
      </c>
      <c r="C341" s="66"/>
      <c r="D341" s="67"/>
      <c r="E341" s="42">
        <f t="shared" si="221"/>
        <v>0</v>
      </c>
      <c r="F341" s="68"/>
      <c r="G341" s="68">
        <f t="shared" si="217"/>
        <v>0</v>
      </c>
      <c r="H341" s="68"/>
      <c r="I341" s="68"/>
      <c r="J341" s="68"/>
      <c r="K341" s="68"/>
      <c r="L341" s="68"/>
      <c r="M341" s="68"/>
      <c r="N341" s="68"/>
      <c r="O341" s="68"/>
      <c r="P341" s="68"/>
      <c r="Q341" s="68"/>
      <c r="R341" s="68"/>
      <c r="S341" s="68"/>
      <c r="T341" s="68"/>
      <c r="U341" s="68"/>
      <c r="V341" s="68"/>
      <c r="W341" s="68"/>
      <c r="X341" s="68"/>
      <c r="Y341" s="68"/>
      <c r="Z341" s="68"/>
      <c r="AA341" s="68">
        <f t="shared" si="218"/>
        <v>0</v>
      </c>
      <c r="AB341" s="68"/>
      <c r="AC341" s="68"/>
      <c r="AD341" s="42">
        <f t="shared" si="222"/>
        <v>0</v>
      </c>
      <c r="AE341" s="68"/>
      <c r="AF341" s="68">
        <f t="shared" si="219"/>
        <v>0</v>
      </c>
      <c r="AG341" s="68"/>
      <c r="AH341" s="68"/>
      <c r="AI341" s="68"/>
      <c r="AJ341" s="68"/>
      <c r="AK341" s="68"/>
      <c r="AL341" s="68"/>
      <c r="AM341" s="68"/>
      <c r="AN341" s="68"/>
      <c r="AO341" s="68"/>
      <c r="AP341" s="68"/>
      <c r="AQ341" s="68"/>
      <c r="AR341" s="68"/>
      <c r="AS341" s="68"/>
      <c r="AT341" s="68"/>
      <c r="AU341" s="68"/>
      <c r="AV341" s="68"/>
      <c r="AW341" s="68"/>
      <c r="AX341" s="68"/>
      <c r="AY341" s="68"/>
      <c r="AZ341" s="68">
        <f t="shared" si="220"/>
        <v>0</v>
      </c>
      <c r="BA341" s="68"/>
      <c r="BB341" s="68"/>
    </row>
    <row r="342" spans="1:54" ht="12.75" customHeight="1">
      <c r="A342" s="108">
        <v>17</v>
      </c>
      <c r="B342" s="110" t="s">
        <v>637</v>
      </c>
      <c r="C342" s="66"/>
      <c r="D342" s="67"/>
      <c r="E342" s="42">
        <f t="shared" si="221"/>
        <v>0</v>
      </c>
      <c r="F342" s="68"/>
      <c r="G342" s="68">
        <f t="shared" si="217"/>
        <v>0</v>
      </c>
      <c r="H342" s="68"/>
      <c r="I342" s="68"/>
      <c r="J342" s="68"/>
      <c r="K342" s="68"/>
      <c r="L342" s="68"/>
      <c r="M342" s="68"/>
      <c r="N342" s="68"/>
      <c r="O342" s="68"/>
      <c r="P342" s="68"/>
      <c r="Q342" s="68"/>
      <c r="R342" s="68"/>
      <c r="S342" s="68"/>
      <c r="T342" s="68"/>
      <c r="U342" s="68"/>
      <c r="V342" s="68"/>
      <c r="W342" s="68"/>
      <c r="X342" s="68"/>
      <c r="Y342" s="68"/>
      <c r="Z342" s="68"/>
      <c r="AA342" s="68">
        <f t="shared" si="218"/>
        <v>0</v>
      </c>
      <c r="AB342" s="68"/>
      <c r="AC342" s="68"/>
      <c r="AD342" s="42">
        <f t="shared" si="222"/>
        <v>0</v>
      </c>
      <c r="AE342" s="68"/>
      <c r="AF342" s="68">
        <f t="shared" si="219"/>
        <v>0</v>
      </c>
      <c r="AG342" s="68"/>
      <c r="AH342" s="68"/>
      <c r="AI342" s="68"/>
      <c r="AJ342" s="68"/>
      <c r="AK342" s="68"/>
      <c r="AL342" s="68"/>
      <c r="AM342" s="68"/>
      <c r="AN342" s="68"/>
      <c r="AO342" s="68"/>
      <c r="AP342" s="68"/>
      <c r="AQ342" s="68"/>
      <c r="AR342" s="68"/>
      <c r="AS342" s="68"/>
      <c r="AT342" s="68"/>
      <c r="AU342" s="68"/>
      <c r="AV342" s="68"/>
      <c r="AW342" s="68"/>
      <c r="AX342" s="68"/>
      <c r="AY342" s="68"/>
      <c r="AZ342" s="68">
        <f t="shared" si="220"/>
        <v>0</v>
      </c>
      <c r="BA342" s="68"/>
      <c r="BB342" s="68"/>
    </row>
    <row r="343" spans="1:54" ht="38.25" customHeight="1">
      <c r="A343" s="108">
        <v>18</v>
      </c>
      <c r="B343" s="110" t="s">
        <v>638</v>
      </c>
      <c r="C343" s="66"/>
      <c r="D343" s="67"/>
      <c r="E343" s="42">
        <f t="shared" si="221"/>
        <v>0</v>
      </c>
      <c r="F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42">
        <f t="shared" si="222"/>
        <v>0</v>
      </c>
      <c r="AE343" s="68"/>
      <c r="AF343" s="68"/>
      <c r="AG343" s="68"/>
      <c r="AH343" s="68"/>
      <c r="AI343" s="68"/>
      <c r="AJ343" s="68"/>
      <c r="AK343" s="68"/>
      <c r="AL343" s="68"/>
      <c r="AM343" s="68"/>
      <c r="AN343" s="68"/>
      <c r="AO343" s="68"/>
      <c r="AP343" s="68"/>
      <c r="AQ343" s="68"/>
      <c r="AR343" s="68"/>
      <c r="AS343" s="68"/>
      <c r="AT343" s="68"/>
      <c r="AU343" s="68"/>
      <c r="AV343" s="68"/>
      <c r="AW343" s="68"/>
      <c r="AX343" s="68"/>
      <c r="AY343" s="68"/>
      <c r="AZ343" s="68"/>
      <c r="BA343" s="68"/>
      <c r="BB343" s="68"/>
    </row>
    <row r="344" spans="1:54" ht="25.5" customHeight="1">
      <c r="A344" s="108">
        <v>19</v>
      </c>
      <c r="B344" s="71" t="s">
        <v>505</v>
      </c>
      <c r="C344" s="66"/>
      <c r="D344" s="67"/>
      <c r="E344" s="42">
        <f t="shared" si="221"/>
        <v>0</v>
      </c>
      <c r="F344" s="68"/>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42">
        <f t="shared" si="222"/>
        <v>0</v>
      </c>
      <c r="AE344" s="68"/>
      <c r="AF344" s="68"/>
      <c r="AG344" s="68"/>
      <c r="AH344" s="68"/>
      <c r="AI344" s="68"/>
      <c r="AJ344" s="68"/>
      <c r="AK344" s="68"/>
      <c r="AL344" s="68"/>
      <c r="AM344" s="68"/>
      <c r="AN344" s="68"/>
      <c r="AO344" s="68"/>
      <c r="AP344" s="68"/>
      <c r="AQ344" s="68"/>
      <c r="AR344" s="68"/>
      <c r="AS344" s="68"/>
      <c r="AT344" s="68"/>
      <c r="AU344" s="68"/>
      <c r="AV344" s="68"/>
      <c r="AW344" s="68"/>
      <c r="AX344" s="68"/>
      <c r="AY344" s="68"/>
      <c r="AZ344" s="68"/>
      <c r="BA344" s="68"/>
      <c r="BB344" s="68"/>
    </row>
    <row r="345" spans="1:54" ht="12.75" customHeight="1">
      <c r="A345" s="108">
        <v>20</v>
      </c>
      <c r="B345" s="71" t="s">
        <v>378</v>
      </c>
      <c r="C345" s="66"/>
      <c r="D345" s="67"/>
      <c r="E345" s="42">
        <f t="shared" si="221"/>
        <v>0</v>
      </c>
      <c r="F345" s="68"/>
      <c r="G345" s="68">
        <f t="shared" si="217"/>
        <v>0</v>
      </c>
      <c r="H345" s="68"/>
      <c r="I345" s="68"/>
      <c r="J345" s="68"/>
      <c r="K345" s="68"/>
      <c r="L345" s="68"/>
      <c r="M345" s="68"/>
      <c r="N345" s="68"/>
      <c r="O345" s="68"/>
      <c r="P345" s="68"/>
      <c r="Q345" s="68"/>
      <c r="R345" s="68"/>
      <c r="S345" s="68"/>
      <c r="T345" s="68"/>
      <c r="U345" s="68"/>
      <c r="V345" s="68"/>
      <c r="W345" s="68"/>
      <c r="X345" s="68"/>
      <c r="Y345" s="68"/>
      <c r="Z345" s="68"/>
      <c r="AA345" s="68">
        <f t="shared" si="218"/>
        <v>0</v>
      </c>
      <c r="AB345" s="68"/>
      <c r="AC345" s="68"/>
      <c r="AD345" s="42">
        <f t="shared" si="222"/>
        <v>0</v>
      </c>
      <c r="AE345" s="68"/>
      <c r="AF345" s="68">
        <f t="shared" ref="AF345:AF346" si="223">AG345+AH345+AI345+AJ345+AK345+AL345+AM345+AN345+AO345+AP345+AT345+AU345+AV345+AW345</f>
        <v>0</v>
      </c>
      <c r="AG345" s="68"/>
      <c r="AH345" s="68"/>
      <c r="AI345" s="68"/>
      <c r="AJ345" s="68"/>
      <c r="AK345" s="68"/>
      <c r="AL345" s="68"/>
      <c r="AM345" s="68"/>
      <c r="AN345" s="68"/>
      <c r="AO345" s="68"/>
      <c r="AP345" s="68"/>
      <c r="AQ345" s="68"/>
      <c r="AR345" s="68"/>
      <c r="AS345" s="68"/>
      <c r="AT345" s="68"/>
      <c r="AU345" s="68"/>
      <c r="AV345" s="68"/>
      <c r="AW345" s="68"/>
      <c r="AX345" s="68"/>
      <c r="AY345" s="68"/>
      <c r="AZ345" s="68">
        <f t="shared" ref="AZ345:AZ346" si="224">BA345+BB345</f>
        <v>0</v>
      </c>
      <c r="BA345" s="68"/>
      <c r="BB345" s="68"/>
    </row>
    <row r="346" spans="1:54" ht="25.5" customHeight="1">
      <c r="A346" s="108">
        <v>21</v>
      </c>
      <c r="B346" s="71" t="s">
        <v>639</v>
      </c>
      <c r="C346" s="66"/>
      <c r="D346" s="67"/>
      <c r="E346" s="42">
        <f t="shared" si="221"/>
        <v>0</v>
      </c>
      <c r="F346" s="68"/>
      <c r="G346" s="68">
        <f t="shared" si="217"/>
        <v>0</v>
      </c>
      <c r="H346" s="68"/>
      <c r="I346" s="68"/>
      <c r="J346" s="68"/>
      <c r="K346" s="68"/>
      <c r="L346" s="68"/>
      <c r="M346" s="68"/>
      <c r="N346" s="68"/>
      <c r="O346" s="68"/>
      <c r="P346" s="68"/>
      <c r="Q346" s="68"/>
      <c r="R346" s="68"/>
      <c r="S346" s="68"/>
      <c r="T346" s="68"/>
      <c r="U346" s="68"/>
      <c r="V346" s="68"/>
      <c r="W346" s="68"/>
      <c r="X346" s="68"/>
      <c r="Y346" s="68"/>
      <c r="Z346" s="68"/>
      <c r="AA346" s="68">
        <f t="shared" si="218"/>
        <v>0</v>
      </c>
      <c r="AB346" s="68"/>
      <c r="AC346" s="68"/>
      <c r="AD346" s="42">
        <f t="shared" si="222"/>
        <v>0</v>
      </c>
      <c r="AE346" s="68"/>
      <c r="AF346" s="68">
        <f t="shared" si="223"/>
        <v>0</v>
      </c>
      <c r="AG346" s="68"/>
      <c r="AH346" s="68"/>
      <c r="AI346" s="68"/>
      <c r="AJ346" s="68"/>
      <c r="AK346" s="68"/>
      <c r="AL346" s="68"/>
      <c r="AM346" s="68"/>
      <c r="AN346" s="68"/>
      <c r="AO346" s="68"/>
      <c r="AP346" s="68"/>
      <c r="AQ346" s="68"/>
      <c r="AR346" s="68"/>
      <c r="AS346" s="68"/>
      <c r="AT346" s="68"/>
      <c r="AU346" s="68"/>
      <c r="AV346" s="68"/>
      <c r="AW346" s="68"/>
      <c r="AX346" s="68"/>
      <c r="AY346" s="68"/>
      <c r="AZ346" s="68">
        <f t="shared" si="224"/>
        <v>0</v>
      </c>
      <c r="BA346" s="68"/>
      <c r="BB346" s="68"/>
    </row>
    <row r="347" spans="1:54" ht="38.25" customHeight="1">
      <c r="A347" s="108">
        <v>22</v>
      </c>
      <c r="B347" s="71" t="s">
        <v>640</v>
      </c>
      <c r="C347" s="66"/>
      <c r="D347" s="67"/>
      <c r="E347" s="42">
        <f t="shared" si="221"/>
        <v>0</v>
      </c>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42">
        <f t="shared" si="222"/>
        <v>0</v>
      </c>
      <c r="AE347" s="68"/>
      <c r="AF347" s="68"/>
      <c r="AG347" s="68"/>
      <c r="AH347" s="68"/>
      <c r="AI347" s="68"/>
      <c r="AJ347" s="68"/>
      <c r="AK347" s="68"/>
      <c r="AL347" s="68"/>
      <c r="AM347" s="68"/>
      <c r="AN347" s="68"/>
      <c r="AO347" s="68"/>
      <c r="AP347" s="68"/>
      <c r="AQ347" s="68"/>
      <c r="AR347" s="68"/>
      <c r="AS347" s="68"/>
      <c r="AT347" s="68"/>
      <c r="AU347" s="68"/>
      <c r="AV347" s="68"/>
      <c r="AW347" s="68"/>
      <c r="AX347" s="68"/>
      <c r="AY347" s="68"/>
      <c r="AZ347" s="68"/>
      <c r="BA347" s="68"/>
      <c r="BB347" s="68"/>
    </row>
    <row r="348" spans="1:54" ht="25.5" customHeight="1">
      <c r="A348" s="108">
        <v>23</v>
      </c>
      <c r="B348" s="71" t="s">
        <v>641</v>
      </c>
      <c r="C348" s="66"/>
      <c r="D348" s="67"/>
      <c r="E348" s="42">
        <f t="shared" si="221"/>
        <v>0</v>
      </c>
      <c r="F348" s="68"/>
      <c r="G348" s="68">
        <f t="shared" si="217"/>
        <v>0</v>
      </c>
      <c r="H348" s="68"/>
      <c r="I348" s="68"/>
      <c r="J348" s="68"/>
      <c r="K348" s="68"/>
      <c r="L348" s="68"/>
      <c r="M348" s="68"/>
      <c r="N348" s="68"/>
      <c r="O348" s="68"/>
      <c r="P348" s="68"/>
      <c r="Q348" s="68"/>
      <c r="R348" s="68"/>
      <c r="S348" s="68"/>
      <c r="T348" s="68"/>
      <c r="U348" s="68"/>
      <c r="V348" s="68"/>
      <c r="W348" s="68"/>
      <c r="X348" s="68"/>
      <c r="Y348" s="68"/>
      <c r="Z348" s="68"/>
      <c r="AA348" s="68">
        <f t="shared" si="218"/>
        <v>0</v>
      </c>
      <c r="AB348" s="68"/>
      <c r="AC348" s="68"/>
      <c r="AD348" s="42">
        <f t="shared" si="222"/>
        <v>0</v>
      </c>
      <c r="AE348" s="68"/>
      <c r="AF348" s="68">
        <f t="shared" ref="AF348:AF353" si="225">AG348+AH348+AI348+AJ348+AK348+AL348+AM348+AN348+AO348+AP348+AT348+AU348+AV348+AW348</f>
        <v>0</v>
      </c>
      <c r="AG348" s="68"/>
      <c r="AH348" s="68"/>
      <c r="AI348" s="68"/>
      <c r="AJ348" s="68"/>
      <c r="AK348" s="68"/>
      <c r="AL348" s="68"/>
      <c r="AM348" s="68"/>
      <c r="AN348" s="68"/>
      <c r="AO348" s="68"/>
      <c r="AP348" s="68"/>
      <c r="AQ348" s="68"/>
      <c r="AR348" s="68"/>
      <c r="AS348" s="68"/>
      <c r="AT348" s="68"/>
      <c r="AU348" s="68"/>
      <c r="AV348" s="68"/>
      <c r="AW348" s="68"/>
      <c r="AX348" s="68"/>
      <c r="AY348" s="68"/>
      <c r="AZ348" s="68">
        <f t="shared" ref="AZ348:AZ353" si="226">BA348+BB348</f>
        <v>0</v>
      </c>
      <c r="BA348" s="68"/>
      <c r="BB348" s="68"/>
    </row>
    <row r="349" spans="1:54" ht="25.5" customHeight="1">
      <c r="A349" s="108">
        <v>24</v>
      </c>
      <c r="B349" s="71" t="s">
        <v>559</v>
      </c>
      <c r="C349" s="66"/>
      <c r="D349" s="67"/>
      <c r="E349" s="42">
        <f t="shared" si="221"/>
        <v>0</v>
      </c>
      <c r="F349" s="68"/>
      <c r="G349" s="68">
        <f t="shared" si="217"/>
        <v>0</v>
      </c>
      <c r="H349" s="68"/>
      <c r="I349" s="68"/>
      <c r="J349" s="68"/>
      <c r="K349" s="68"/>
      <c r="L349" s="68"/>
      <c r="M349" s="68"/>
      <c r="N349" s="68"/>
      <c r="O349" s="68"/>
      <c r="P349" s="68"/>
      <c r="Q349" s="68"/>
      <c r="R349" s="68"/>
      <c r="S349" s="68"/>
      <c r="T349" s="68"/>
      <c r="U349" s="68"/>
      <c r="V349" s="68"/>
      <c r="W349" s="68"/>
      <c r="X349" s="68"/>
      <c r="Y349" s="68"/>
      <c r="Z349" s="68"/>
      <c r="AA349" s="68">
        <f t="shared" si="218"/>
        <v>0</v>
      </c>
      <c r="AB349" s="68"/>
      <c r="AC349" s="68"/>
      <c r="AD349" s="42">
        <f t="shared" si="222"/>
        <v>0</v>
      </c>
      <c r="AE349" s="68"/>
      <c r="AF349" s="68">
        <f t="shared" si="225"/>
        <v>0</v>
      </c>
      <c r="AG349" s="68"/>
      <c r="AH349" s="68"/>
      <c r="AI349" s="68"/>
      <c r="AJ349" s="68"/>
      <c r="AK349" s="68"/>
      <c r="AL349" s="68"/>
      <c r="AM349" s="68"/>
      <c r="AN349" s="68"/>
      <c r="AO349" s="68"/>
      <c r="AP349" s="68"/>
      <c r="AQ349" s="68"/>
      <c r="AR349" s="68"/>
      <c r="AS349" s="68"/>
      <c r="AT349" s="68"/>
      <c r="AU349" s="68"/>
      <c r="AV349" s="68"/>
      <c r="AW349" s="68"/>
      <c r="AX349" s="68"/>
      <c r="AY349" s="68"/>
      <c r="AZ349" s="68">
        <f t="shared" si="226"/>
        <v>0</v>
      </c>
      <c r="BA349" s="68"/>
      <c r="BB349" s="68"/>
    </row>
    <row r="350" spans="1:54" ht="25.5" customHeight="1">
      <c r="A350" s="108">
        <v>25</v>
      </c>
      <c r="B350" s="71" t="s">
        <v>642</v>
      </c>
      <c r="C350" s="66"/>
      <c r="D350" s="67"/>
      <c r="E350" s="42">
        <f t="shared" si="221"/>
        <v>0</v>
      </c>
      <c r="F350" s="68"/>
      <c r="G350" s="68">
        <f t="shared" si="217"/>
        <v>0</v>
      </c>
      <c r="H350" s="68"/>
      <c r="I350" s="68"/>
      <c r="J350" s="68"/>
      <c r="K350" s="68"/>
      <c r="L350" s="68"/>
      <c r="M350" s="68"/>
      <c r="N350" s="68"/>
      <c r="O350" s="68"/>
      <c r="P350" s="68"/>
      <c r="Q350" s="68"/>
      <c r="R350" s="68"/>
      <c r="S350" s="68"/>
      <c r="T350" s="68"/>
      <c r="U350" s="68"/>
      <c r="V350" s="68"/>
      <c r="W350" s="68"/>
      <c r="X350" s="68"/>
      <c r="Y350" s="68"/>
      <c r="Z350" s="68"/>
      <c r="AA350" s="68">
        <f t="shared" si="218"/>
        <v>0</v>
      </c>
      <c r="AB350" s="68"/>
      <c r="AC350" s="68"/>
      <c r="AD350" s="42">
        <f t="shared" si="222"/>
        <v>0</v>
      </c>
      <c r="AE350" s="68"/>
      <c r="AF350" s="68">
        <f t="shared" si="225"/>
        <v>0</v>
      </c>
      <c r="AG350" s="68"/>
      <c r="AH350" s="68"/>
      <c r="AI350" s="68"/>
      <c r="AJ350" s="68"/>
      <c r="AK350" s="68"/>
      <c r="AL350" s="68"/>
      <c r="AM350" s="68"/>
      <c r="AN350" s="68"/>
      <c r="AO350" s="68"/>
      <c r="AP350" s="68"/>
      <c r="AQ350" s="68"/>
      <c r="AR350" s="68"/>
      <c r="AS350" s="68"/>
      <c r="AT350" s="68"/>
      <c r="AU350" s="68"/>
      <c r="AV350" s="68"/>
      <c r="AW350" s="68"/>
      <c r="AX350" s="68"/>
      <c r="AY350" s="68"/>
      <c r="AZ350" s="68">
        <f t="shared" si="226"/>
        <v>0</v>
      </c>
      <c r="BA350" s="68"/>
      <c r="BB350" s="68"/>
    </row>
    <row r="351" spans="1:54" ht="51" customHeight="1">
      <c r="A351" s="108">
        <v>26</v>
      </c>
      <c r="B351" s="71" t="s">
        <v>619</v>
      </c>
      <c r="C351" s="66"/>
      <c r="D351" s="67"/>
      <c r="E351" s="42">
        <f t="shared" si="221"/>
        <v>0</v>
      </c>
      <c r="F351" s="68"/>
      <c r="G351" s="68">
        <f t="shared" si="217"/>
        <v>0</v>
      </c>
      <c r="H351" s="68"/>
      <c r="I351" s="68"/>
      <c r="J351" s="68"/>
      <c r="K351" s="68"/>
      <c r="L351" s="68"/>
      <c r="M351" s="68"/>
      <c r="N351" s="68"/>
      <c r="O351" s="68"/>
      <c r="P351" s="68"/>
      <c r="Q351" s="68"/>
      <c r="R351" s="68"/>
      <c r="S351" s="68"/>
      <c r="T351" s="68"/>
      <c r="U351" s="68"/>
      <c r="V351" s="68"/>
      <c r="W351" s="68"/>
      <c r="X351" s="68"/>
      <c r="Y351" s="68"/>
      <c r="Z351" s="68"/>
      <c r="AA351" s="68">
        <f t="shared" si="218"/>
        <v>0</v>
      </c>
      <c r="AB351" s="68"/>
      <c r="AC351" s="68"/>
      <c r="AD351" s="42">
        <f t="shared" si="222"/>
        <v>0</v>
      </c>
      <c r="AE351" s="68"/>
      <c r="AF351" s="68">
        <f t="shared" si="225"/>
        <v>0</v>
      </c>
      <c r="AG351" s="68"/>
      <c r="AH351" s="68"/>
      <c r="AI351" s="68"/>
      <c r="AJ351" s="68"/>
      <c r="AK351" s="68"/>
      <c r="AL351" s="68"/>
      <c r="AM351" s="68"/>
      <c r="AN351" s="68"/>
      <c r="AO351" s="68"/>
      <c r="AP351" s="68"/>
      <c r="AQ351" s="68"/>
      <c r="AR351" s="68"/>
      <c r="AS351" s="68"/>
      <c r="AT351" s="68"/>
      <c r="AU351" s="68"/>
      <c r="AV351" s="68"/>
      <c r="AW351" s="68"/>
      <c r="AX351" s="68"/>
      <c r="AY351" s="68"/>
      <c r="AZ351" s="68">
        <f t="shared" si="226"/>
        <v>0</v>
      </c>
      <c r="BA351" s="68"/>
      <c r="BB351" s="68"/>
    </row>
    <row r="352" spans="1:54" ht="25.5" customHeight="1">
      <c r="A352" s="108">
        <v>27</v>
      </c>
      <c r="B352" s="109" t="s">
        <v>643</v>
      </c>
      <c r="C352" s="66"/>
      <c r="D352" s="67"/>
      <c r="E352" s="42">
        <f t="shared" si="221"/>
        <v>0</v>
      </c>
      <c r="F352" s="68"/>
      <c r="G352" s="68">
        <f t="shared" si="217"/>
        <v>0</v>
      </c>
      <c r="H352" s="68"/>
      <c r="I352" s="68"/>
      <c r="J352" s="68"/>
      <c r="K352" s="68"/>
      <c r="L352" s="68"/>
      <c r="M352" s="68"/>
      <c r="N352" s="68"/>
      <c r="O352" s="68"/>
      <c r="P352" s="68"/>
      <c r="Q352" s="68"/>
      <c r="R352" s="68"/>
      <c r="S352" s="68"/>
      <c r="T352" s="68"/>
      <c r="U352" s="68"/>
      <c r="V352" s="68"/>
      <c r="W352" s="68"/>
      <c r="X352" s="68"/>
      <c r="Y352" s="68"/>
      <c r="Z352" s="68"/>
      <c r="AA352" s="68">
        <f t="shared" si="218"/>
        <v>0</v>
      </c>
      <c r="AB352" s="68"/>
      <c r="AC352" s="68"/>
      <c r="AD352" s="42">
        <f t="shared" si="222"/>
        <v>0</v>
      </c>
      <c r="AE352" s="68"/>
      <c r="AF352" s="68">
        <f t="shared" si="225"/>
        <v>0</v>
      </c>
      <c r="AG352" s="68"/>
      <c r="AH352" s="68"/>
      <c r="AI352" s="68"/>
      <c r="AJ352" s="68"/>
      <c r="AK352" s="68"/>
      <c r="AL352" s="68"/>
      <c r="AM352" s="68"/>
      <c r="AN352" s="68"/>
      <c r="AO352" s="68"/>
      <c r="AP352" s="68"/>
      <c r="AQ352" s="68"/>
      <c r="AR352" s="68"/>
      <c r="AS352" s="68"/>
      <c r="AT352" s="68"/>
      <c r="AU352" s="68"/>
      <c r="AV352" s="68"/>
      <c r="AW352" s="68"/>
      <c r="AX352" s="68"/>
      <c r="AY352" s="68"/>
      <c r="AZ352" s="68">
        <f t="shared" si="226"/>
        <v>0</v>
      </c>
      <c r="BA352" s="68"/>
      <c r="BB352" s="68"/>
    </row>
    <row r="353" spans="1:54" ht="25.5" customHeight="1">
      <c r="A353" s="108">
        <v>28</v>
      </c>
      <c r="B353" s="71" t="s">
        <v>644</v>
      </c>
      <c r="C353" s="66"/>
      <c r="D353" s="67"/>
      <c r="E353" s="42">
        <f t="shared" si="221"/>
        <v>0</v>
      </c>
      <c r="F353" s="68"/>
      <c r="G353" s="68">
        <f t="shared" si="217"/>
        <v>0</v>
      </c>
      <c r="H353" s="68"/>
      <c r="I353" s="68"/>
      <c r="J353" s="68"/>
      <c r="K353" s="68"/>
      <c r="L353" s="68"/>
      <c r="M353" s="68"/>
      <c r="N353" s="68"/>
      <c r="O353" s="68"/>
      <c r="P353" s="68"/>
      <c r="Q353" s="68"/>
      <c r="R353" s="68"/>
      <c r="S353" s="68"/>
      <c r="T353" s="68"/>
      <c r="U353" s="68"/>
      <c r="V353" s="68"/>
      <c r="W353" s="68"/>
      <c r="X353" s="68"/>
      <c r="Y353" s="68"/>
      <c r="Z353" s="68"/>
      <c r="AA353" s="68">
        <f t="shared" si="218"/>
        <v>0</v>
      </c>
      <c r="AB353" s="68"/>
      <c r="AC353" s="68"/>
      <c r="AD353" s="42">
        <f t="shared" si="222"/>
        <v>0</v>
      </c>
      <c r="AE353" s="68"/>
      <c r="AF353" s="68">
        <f t="shared" si="225"/>
        <v>0</v>
      </c>
      <c r="AG353" s="68"/>
      <c r="AH353" s="68"/>
      <c r="AI353" s="68"/>
      <c r="AJ353" s="68"/>
      <c r="AK353" s="68"/>
      <c r="AL353" s="68"/>
      <c r="AM353" s="68"/>
      <c r="AN353" s="68"/>
      <c r="AO353" s="68"/>
      <c r="AP353" s="68"/>
      <c r="AQ353" s="68"/>
      <c r="AR353" s="68"/>
      <c r="AS353" s="68"/>
      <c r="AT353" s="68"/>
      <c r="AU353" s="68"/>
      <c r="AV353" s="68"/>
      <c r="AW353" s="68"/>
      <c r="AX353" s="68"/>
      <c r="AY353" s="68"/>
      <c r="AZ353" s="68">
        <f t="shared" si="226"/>
        <v>0</v>
      </c>
      <c r="BA353" s="68"/>
      <c r="BB353" s="68"/>
    </row>
    <row r="354" spans="1:54" ht="25.5" customHeight="1">
      <c r="A354" s="108">
        <v>29</v>
      </c>
      <c r="B354" s="71" t="s">
        <v>555</v>
      </c>
      <c r="C354" s="66"/>
      <c r="D354" s="67"/>
      <c r="E354" s="42">
        <f t="shared" si="221"/>
        <v>0</v>
      </c>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42">
        <f t="shared" si="222"/>
        <v>0</v>
      </c>
      <c r="AE354" s="68"/>
      <c r="AF354" s="68"/>
      <c r="AG354" s="68"/>
      <c r="AH354" s="68"/>
      <c r="AI354" s="68"/>
      <c r="AJ354" s="68"/>
      <c r="AK354" s="68"/>
      <c r="AL354" s="68"/>
      <c r="AM354" s="68"/>
      <c r="AN354" s="68"/>
      <c r="AO354" s="68"/>
      <c r="AP354" s="68"/>
      <c r="AQ354" s="68"/>
      <c r="AR354" s="68"/>
      <c r="AS354" s="68"/>
      <c r="AT354" s="68"/>
      <c r="AU354" s="68"/>
      <c r="AV354" s="68"/>
      <c r="AW354" s="68"/>
      <c r="AX354" s="68"/>
      <c r="AY354" s="68"/>
      <c r="AZ354" s="68"/>
      <c r="BA354" s="68"/>
      <c r="BB354" s="68"/>
    </row>
    <row r="355" spans="1:54" ht="38.25" customHeight="1">
      <c r="A355" s="108">
        <v>30</v>
      </c>
      <c r="B355" s="71" t="s">
        <v>645</v>
      </c>
      <c r="C355" s="66"/>
      <c r="D355" s="67"/>
      <c r="E355" s="42">
        <f t="shared" si="221"/>
        <v>0</v>
      </c>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42">
        <f t="shared" si="222"/>
        <v>0</v>
      </c>
      <c r="AE355" s="68"/>
      <c r="AF355" s="68"/>
      <c r="AG355" s="68"/>
      <c r="AH355" s="68"/>
      <c r="AI355" s="68"/>
      <c r="AJ355" s="68"/>
      <c r="AK355" s="68"/>
      <c r="AL355" s="68"/>
      <c r="AM355" s="68"/>
      <c r="AN355" s="68"/>
      <c r="AO355" s="68"/>
      <c r="AP355" s="68"/>
      <c r="AQ355" s="68"/>
      <c r="AR355" s="68"/>
      <c r="AS355" s="68"/>
      <c r="AT355" s="68"/>
      <c r="AU355" s="68"/>
      <c r="AV355" s="68"/>
      <c r="AW355" s="68"/>
      <c r="AX355" s="68"/>
      <c r="AY355" s="68"/>
      <c r="AZ355" s="68"/>
      <c r="BA355" s="68"/>
      <c r="BB355" s="68"/>
    </row>
    <row r="356" spans="1:54" ht="25.5" customHeight="1">
      <c r="A356" s="108">
        <v>31</v>
      </c>
      <c r="B356" s="71" t="s">
        <v>303</v>
      </c>
      <c r="C356" s="66"/>
      <c r="D356" s="67"/>
      <c r="E356" s="42">
        <f t="shared" si="221"/>
        <v>0</v>
      </c>
      <c r="F356" s="68"/>
      <c r="G356" s="68">
        <f t="shared" si="217"/>
        <v>0</v>
      </c>
      <c r="H356" s="68"/>
      <c r="I356" s="68"/>
      <c r="J356" s="68"/>
      <c r="K356" s="68"/>
      <c r="L356" s="68"/>
      <c r="M356" s="68"/>
      <c r="N356" s="68"/>
      <c r="O356" s="68"/>
      <c r="P356" s="68"/>
      <c r="Q356" s="68"/>
      <c r="R356" s="68"/>
      <c r="S356" s="68"/>
      <c r="T356" s="68"/>
      <c r="U356" s="68"/>
      <c r="V356" s="68"/>
      <c r="W356" s="68"/>
      <c r="X356" s="68"/>
      <c r="Y356" s="68"/>
      <c r="Z356" s="68"/>
      <c r="AA356" s="68">
        <f t="shared" si="218"/>
        <v>0</v>
      </c>
      <c r="AB356" s="68"/>
      <c r="AC356" s="68"/>
      <c r="AD356" s="42">
        <f t="shared" si="222"/>
        <v>0</v>
      </c>
      <c r="AE356" s="68"/>
      <c r="AF356" s="68">
        <f t="shared" ref="AF356:AF362" si="227">AG356+AH356+AI356+AJ356+AK356+AL356+AM356+AN356+AO356+AP356+AT356+AU356+AV356+AW356</f>
        <v>0</v>
      </c>
      <c r="AG356" s="68"/>
      <c r="AH356" s="68"/>
      <c r="AI356" s="68"/>
      <c r="AJ356" s="68"/>
      <c r="AK356" s="68"/>
      <c r="AL356" s="68"/>
      <c r="AM356" s="68"/>
      <c r="AN356" s="68"/>
      <c r="AO356" s="68"/>
      <c r="AP356" s="68"/>
      <c r="AQ356" s="68"/>
      <c r="AR356" s="68"/>
      <c r="AS356" s="68"/>
      <c r="AT356" s="68"/>
      <c r="AU356" s="68"/>
      <c r="AV356" s="68"/>
      <c r="AW356" s="68"/>
      <c r="AX356" s="68"/>
      <c r="AY356" s="68"/>
      <c r="AZ356" s="68">
        <f t="shared" ref="AZ356:AZ362" si="228">BA356+BB356</f>
        <v>0</v>
      </c>
      <c r="BA356" s="68"/>
      <c r="BB356" s="68"/>
    </row>
    <row r="357" spans="1:54" ht="25.5" customHeight="1">
      <c r="A357" s="108">
        <v>32</v>
      </c>
      <c r="B357" s="71" t="s">
        <v>646</v>
      </c>
      <c r="C357" s="66"/>
      <c r="D357" s="67"/>
      <c r="E357" s="42">
        <f t="shared" si="221"/>
        <v>0</v>
      </c>
      <c r="F357" s="68"/>
      <c r="G357" s="68">
        <f t="shared" si="217"/>
        <v>0</v>
      </c>
      <c r="H357" s="68"/>
      <c r="I357" s="68"/>
      <c r="J357" s="68"/>
      <c r="K357" s="68"/>
      <c r="L357" s="68"/>
      <c r="M357" s="68"/>
      <c r="N357" s="68"/>
      <c r="O357" s="68"/>
      <c r="P357" s="68"/>
      <c r="Q357" s="68"/>
      <c r="R357" s="68"/>
      <c r="S357" s="68"/>
      <c r="T357" s="68"/>
      <c r="U357" s="68"/>
      <c r="V357" s="68"/>
      <c r="W357" s="68"/>
      <c r="X357" s="68"/>
      <c r="Y357" s="68"/>
      <c r="Z357" s="68"/>
      <c r="AA357" s="68">
        <f t="shared" si="218"/>
        <v>0</v>
      </c>
      <c r="AB357" s="68"/>
      <c r="AC357" s="68"/>
      <c r="AD357" s="42">
        <f t="shared" si="222"/>
        <v>0</v>
      </c>
      <c r="AE357" s="68"/>
      <c r="AF357" s="68">
        <f t="shared" si="227"/>
        <v>0</v>
      </c>
      <c r="AG357" s="68"/>
      <c r="AH357" s="68"/>
      <c r="AI357" s="68"/>
      <c r="AJ357" s="68"/>
      <c r="AK357" s="68"/>
      <c r="AL357" s="68"/>
      <c r="AM357" s="68"/>
      <c r="AN357" s="68"/>
      <c r="AO357" s="68"/>
      <c r="AP357" s="68"/>
      <c r="AQ357" s="68"/>
      <c r="AR357" s="68"/>
      <c r="AS357" s="68"/>
      <c r="AT357" s="68"/>
      <c r="AU357" s="68"/>
      <c r="AV357" s="68"/>
      <c r="AW357" s="68"/>
      <c r="AX357" s="68"/>
      <c r="AY357" s="68"/>
      <c r="AZ357" s="68">
        <f t="shared" si="228"/>
        <v>0</v>
      </c>
      <c r="BA357" s="68"/>
      <c r="BB357" s="68"/>
    </row>
    <row r="358" spans="1:54" ht="25.5" customHeight="1">
      <c r="A358" s="108">
        <v>33</v>
      </c>
      <c r="B358" s="71" t="s">
        <v>647</v>
      </c>
      <c r="C358" s="66"/>
      <c r="D358" s="67"/>
      <c r="E358" s="42">
        <f t="shared" si="221"/>
        <v>0</v>
      </c>
      <c r="F358" s="68"/>
      <c r="G358" s="68">
        <f t="shared" si="217"/>
        <v>0</v>
      </c>
      <c r="H358" s="68"/>
      <c r="I358" s="68"/>
      <c r="J358" s="68"/>
      <c r="K358" s="68"/>
      <c r="L358" s="68"/>
      <c r="M358" s="68"/>
      <c r="N358" s="68"/>
      <c r="O358" s="68"/>
      <c r="P358" s="68"/>
      <c r="Q358" s="68"/>
      <c r="R358" s="68"/>
      <c r="S358" s="68"/>
      <c r="T358" s="68"/>
      <c r="U358" s="68"/>
      <c r="V358" s="68"/>
      <c r="W358" s="68"/>
      <c r="X358" s="68"/>
      <c r="Y358" s="68"/>
      <c r="Z358" s="68"/>
      <c r="AA358" s="68">
        <f t="shared" si="218"/>
        <v>0</v>
      </c>
      <c r="AB358" s="68"/>
      <c r="AC358" s="68"/>
      <c r="AD358" s="42">
        <f t="shared" si="222"/>
        <v>0</v>
      </c>
      <c r="AE358" s="68"/>
      <c r="AF358" s="68">
        <f t="shared" si="227"/>
        <v>0</v>
      </c>
      <c r="AG358" s="68"/>
      <c r="AH358" s="68"/>
      <c r="AI358" s="68"/>
      <c r="AJ358" s="68"/>
      <c r="AK358" s="68"/>
      <c r="AL358" s="68"/>
      <c r="AM358" s="68"/>
      <c r="AN358" s="68"/>
      <c r="AO358" s="68"/>
      <c r="AP358" s="68"/>
      <c r="AQ358" s="68"/>
      <c r="AR358" s="68"/>
      <c r="AS358" s="68"/>
      <c r="AT358" s="68"/>
      <c r="AU358" s="68"/>
      <c r="AV358" s="68"/>
      <c r="AW358" s="68"/>
      <c r="AX358" s="68"/>
      <c r="AY358" s="68"/>
      <c r="AZ358" s="68">
        <f t="shared" si="228"/>
        <v>0</v>
      </c>
      <c r="BA358" s="68"/>
      <c r="BB358" s="68"/>
    </row>
    <row r="359" spans="1:54" ht="25.5" customHeight="1">
      <c r="A359" s="108">
        <v>34</v>
      </c>
      <c r="B359" s="71" t="s">
        <v>648</v>
      </c>
      <c r="C359" s="66"/>
      <c r="D359" s="67"/>
      <c r="E359" s="42">
        <f t="shared" si="221"/>
        <v>0</v>
      </c>
      <c r="F359" s="68"/>
      <c r="G359" s="68">
        <f t="shared" si="217"/>
        <v>0</v>
      </c>
      <c r="H359" s="68"/>
      <c r="I359" s="68"/>
      <c r="J359" s="68"/>
      <c r="K359" s="68"/>
      <c r="L359" s="68"/>
      <c r="M359" s="68"/>
      <c r="N359" s="68"/>
      <c r="O359" s="68"/>
      <c r="P359" s="68"/>
      <c r="Q359" s="68"/>
      <c r="R359" s="68"/>
      <c r="S359" s="68"/>
      <c r="T359" s="68"/>
      <c r="U359" s="68"/>
      <c r="V359" s="68"/>
      <c r="W359" s="68"/>
      <c r="X359" s="68"/>
      <c r="Y359" s="68"/>
      <c r="Z359" s="68"/>
      <c r="AA359" s="68">
        <f t="shared" si="218"/>
        <v>0</v>
      </c>
      <c r="AB359" s="68"/>
      <c r="AC359" s="68"/>
      <c r="AD359" s="42">
        <f t="shared" si="222"/>
        <v>0</v>
      </c>
      <c r="AE359" s="68"/>
      <c r="AF359" s="68">
        <f t="shared" si="227"/>
        <v>0</v>
      </c>
      <c r="AG359" s="68"/>
      <c r="AH359" s="68"/>
      <c r="AI359" s="68"/>
      <c r="AJ359" s="68"/>
      <c r="AK359" s="68"/>
      <c r="AL359" s="68"/>
      <c r="AM359" s="68"/>
      <c r="AN359" s="68"/>
      <c r="AO359" s="68"/>
      <c r="AP359" s="68"/>
      <c r="AQ359" s="68"/>
      <c r="AR359" s="68"/>
      <c r="AS359" s="68"/>
      <c r="AT359" s="68"/>
      <c r="AU359" s="68"/>
      <c r="AV359" s="68"/>
      <c r="AW359" s="68"/>
      <c r="AX359" s="68"/>
      <c r="AY359" s="68"/>
      <c r="AZ359" s="68">
        <f t="shared" si="228"/>
        <v>0</v>
      </c>
      <c r="BA359" s="68"/>
      <c r="BB359" s="68"/>
    </row>
    <row r="360" spans="1:54" ht="38.25" customHeight="1">
      <c r="A360" s="108">
        <v>35</v>
      </c>
      <c r="B360" s="71" t="s">
        <v>649</v>
      </c>
      <c r="C360" s="66"/>
      <c r="D360" s="67"/>
      <c r="E360" s="42">
        <f t="shared" si="221"/>
        <v>0</v>
      </c>
      <c r="F360" s="68"/>
      <c r="G360" s="68">
        <f t="shared" si="217"/>
        <v>0</v>
      </c>
      <c r="H360" s="68"/>
      <c r="I360" s="68"/>
      <c r="J360" s="68"/>
      <c r="K360" s="68"/>
      <c r="L360" s="68"/>
      <c r="M360" s="68"/>
      <c r="N360" s="68"/>
      <c r="O360" s="68"/>
      <c r="P360" s="68"/>
      <c r="Q360" s="68"/>
      <c r="R360" s="68"/>
      <c r="S360" s="68"/>
      <c r="T360" s="68"/>
      <c r="U360" s="68"/>
      <c r="V360" s="68"/>
      <c r="W360" s="68"/>
      <c r="X360" s="68"/>
      <c r="Y360" s="68"/>
      <c r="Z360" s="68"/>
      <c r="AA360" s="68">
        <f t="shared" si="218"/>
        <v>0</v>
      </c>
      <c r="AB360" s="68"/>
      <c r="AC360" s="68"/>
      <c r="AD360" s="42">
        <f t="shared" si="222"/>
        <v>0</v>
      </c>
      <c r="AE360" s="68"/>
      <c r="AF360" s="68">
        <f t="shared" si="227"/>
        <v>0</v>
      </c>
      <c r="AG360" s="68"/>
      <c r="AH360" s="68"/>
      <c r="AI360" s="68"/>
      <c r="AJ360" s="68"/>
      <c r="AK360" s="68"/>
      <c r="AL360" s="68"/>
      <c r="AM360" s="68"/>
      <c r="AN360" s="68"/>
      <c r="AO360" s="68"/>
      <c r="AP360" s="68"/>
      <c r="AQ360" s="68"/>
      <c r="AR360" s="68"/>
      <c r="AS360" s="68"/>
      <c r="AT360" s="68"/>
      <c r="AU360" s="68"/>
      <c r="AV360" s="68"/>
      <c r="AW360" s="68"/>
      <c r="AX360" s="68"/>
      <c r="AY360" s="68"/>
      <c r="AZ360" s="68">
        <f t="shared" si="228"/>
        <v>0</v>
      </c>
      <c r="BA360" s="68"/>
      <c r="BB360" s="68"/>
    </row>
    <row r="361" spans="1:54" ht="12.75" customHeight="1">
      <c r="A361" s="108">
        <v>36</v>
      </c>
      <c r="B361" s="71" t="s">
        <v>650</v>
      </c>
      <c r="C361" s="66"/>
      <c r="D361" s="67"/>
      <c r="E361" s="42">
        <f t="shared" si="221"/>
        <v>0</v>
      </c>
      <c r="F361" s="68"/>
      <c r="G361" s="68">
        <f t="shared" si="217"/>
        <v>0</v>
      </c>
      <c r="H361" s="68"/>
      <c r="I361" s="68"/>
      <c r="J361" s="68"/>
      <c r="K361" s="68"/>
      <c r="L361" s="68"/>
      <c r="M361" s="68"/>
      <c r="N361" s="68"/>
      <c r="O361" s="68"/>
      <c r="P361" s="68"/>
      <c r="Q361" s="68"/>
      <c r="R361" s="68"/>
      <c r="S361" s="68"/>
      <c r="T361" s="68"/>
      <c r="U361" s="68"/>
      <c r="V361" s="68"/>
      <c r="W361" s="68"/>
      <c r="X361" s="68"/>
      <c r="Y361" s="68"/>
      <c r="Z361" s="68"/>
      <c r="AA361" s="68">
        <f t="shared" si="218"/>
        <v>0</v>
      </c>
      <c r="AB361" s="68"/>
      <c r="AC361" s="68"/>
      <c r="AD361" s="42">
        <f t="shared" si="222"/>
        <v>0</v>
      </c>
      <c r="AE361" s="68"/>
      <c r="AF361" s="68">
        <f t="shared" si="227"/>
        <v>0</v>
      </c>
      <c r="AG361" s="68"/>
      <c r="AH361" s="68"/>
      <c r="AI361" s="68"/>
      <c r="AJ361" s="68"/>
      <c r="AK361" s="68"/>
      <c r="AL361" s="68"/>
      <c r="AM361" s="68"/>
      <c r="AN361" s="68"/>
      <c r="AO361" s="68"/>
      <c r="AP361" s="68"/>
      <c r="AQ361" s="68"/>
      <c r="AR361" s="68"/>
      <c r="AS361" s="68"/>
      <c r="AT361" s="68"/>
      <c r="AU361" s="68"/>
      <c r="AV361" s="68"/>
      <c r="AW361" s="68"/>
      <c r="AX361" s="68"/>
      <c r="AY361" s="68"/>
      <c r="AZ361" s="68">
        <f t="shared" si="228"/>
        <v>0</v>
      </c>
      <c r="BA361" s="68"/>
      <c r="BB361" s="68"/>
    </row>
    <row r="362" spans="1:54" ht="15" customHeight="1">
      <c r="A362" s="108">
        <v>37</v>
      </c>
      <c r="B362" s="71" t="s">
        <v>651</v>
      </c>
      <c r="C362" s="66"/>
      <c r="D362" s="67"/>
      <c r="E362" s="42">
        <f t="shared" si="221"/>
        <v>0</v>
      </c>
      <c r="F362" s="68"/>
      <c r="G362" s="68">
        <f t="shared" si="217"/>
        <v>0</v>
      </c>
      <c r="H362" s="68"/>
      <c r="I362" s="68"/>
      <c r="J362" s="68"/>
      <c r="K362" s="68"/>
      <c r="L362" s="68"/>
      <c r="M362" s="68"/>
      <c r="N362" s="68"/>
      <c r="O362" s="68"/>
      <c r="P362" s="68"/>
      <c r="Q362" s="68"/>
      <c r="R362" s="68"/>
      <c r="S362" s="68"/>
      <c r="T362" s="68"/>
      <c r="U362" s="68"/>
      <c r="V362" s="68"/>
      <c r="W362" s="68"/>
      <c r="X362" s="68"/>
      <c r="Y362" s="68"/>
      <c r="Z362" s="68"/>
      <c r="AA362" s="68">
        <f t="shared" si="218"/>
        <v>0</v>
      </c>
      <c r="AB362" s="68"/>
      <c r="AC362" s="68"/>
      <c r="AD362" s="42">
        <f t="shared" si="222"/>
        <v>0</v>
      </c>
      <c r="AE362" s="68"/>
      <c r="AF362" s="68">
        <f t="shared" si="227"/>
        <v>0</v>
      </c>
      <c r="AG362" s="68"/>
      <c r="AH362" s="68"/>
      <c r="AI362" s="68"/>
      <c r="AJ362" s="68"/>
      <c r="AK362" s="68"/>
      <c r="AL362" s="68"/>
      <c r="AM362" s="68"/>
      <c r="AN362" s="68"/>
      <c r="AO362" s="68"/>
      <c r="AP362" s="68"/>
      <c r="AQ362" s="68"/>
      <c r="AR362" s="68"/>
      <c r="AS362" s="68"/>
      <c r="AT362" s="68"/>
      <c r="AU362" s="68"/>
      <c r="AV362" s="68"/>
      <c r="AW362" s="68"/>
      <c r="AX362" s="68"/>
      <c r="AY362" s="68"/>
      <c r="AZ362" s="68">
        <f t="shared" si="228"/>
        <v>0</v>
      </c>
      <c r="BA362" s="68"/>
      <c r="BB362" s="68"/>
    </row>
    <row r="363" spans="1:54" ht="25.5" customHeight="1">
      <c r="A363" s="108">
        <v>38</v>
      </c>
      <c r="B363" s="71" t="s">
        <v>652</v>
      </c>
      <c r="C363" s="66"/>
      <c r="D363" s="67"/>
      <c r="E363" s="42">
        <f t="shared" si="221"/>
        <v>0</v>
      </c>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42">
        <f t="shared" si="222"/>
        <v>0</v>
      </c>
      <c r="AE363" s="68"/>
      <c r="AF363" s="68"/>
      <c r="AG363" s="68"/>
      <c r="AH363" s="68"/>
      <c r="AI363" s="68"/>
      <c r="AJ363" s="68"/>
      <c r="AK363" s="68"/>
      <c r="AL363" s="68"/>
      <c r="AM363" s="68"/>
      <c r="AN363" s="68"/>
      <c r="AO363" s="68"/>
      <c r="AP363" s="68"/>
      <c r="AQ363" s="68"/>
      <c r="AR363" s="68"/>
      <c r="AS363" s="68"/>
      <c r="AT363" s="68"/>
      <c r="AU363" s="68"/>
      <c r="AV363" s="68"/>
      <c r="AW363" s="68"/>
      <c r="AX363" s="68"/>
      <c r="AY363" s="68"/>
      <c r="AZ363" s="68"/>
      <c r="BA363" s="68"/>
      <c r="BB363" s="68"/>
    </row>
    <row r="364" spans="1:54" ht="15" customHeight="1">
      <c r="A364" s="108">
        <v>39</v>
      </c>
      <c r="B364" s="71" t="s">
        <v>301</v>
      </c>
      <c r="C364" s="66"/>
      <c r="D364" s="67"/>
      <c r="E364" s="42">
        <f t="shared" si="221"/>
        <v>0</v>
      </c>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42">
        <f t="shared" si="222"/>
        <v>0</v>
      </c>
      <c r="AE364" s="68"/>
      <c r="AF364" s="68"/>
      <c r="AG364" s="68"/>
      <c r="AH364" s="68"/>
      <c r="AI364" s="68"/>
      <c r="AJ364" s="68"/>
      <c r="AK364" s="68"/>
      <c r="AL364" s="68"/>
      <c r="AM364" s="68"/>
      <c r="AN364" s="68"/>
      <c r="AO364" s="68"/>
      <c r="AP364" s="68"/>
      <c r="AQ364" s="68"/>
      <c r="AR364" s="68"/>
      <c r="AS364" s="68"/>
      <c r="AT364" s="68"/>
      <c r="AU364" s="68"/>
      <c r="AV364" s="68"/>
      <c r="AW364" s="68"/>
      <c r="AX364" s="68"/>
      <c r="AY364" s="68"/>
      <c r="AZ364" s="68"/>
      <c r="BA364" s="68"/>
      <c r="BB364" s="68"/>
    </row>
    <row r="365" spans="1:54" ht="15" customHeight="1">
      <c r="A365" s="108">
        <v>40</v>
      </c>
      <c r="B365" s="71" t="s">
        <v>653</v>
      </c>
      <c r="C365" s="66"/>
      <c r="D365" s="67"/>
      <c r="E365" s="42">
        <f t="shared" si="221"/>
        <v>0</v>
      </c>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42">
        <f t="shared" si="222"/>
        <v>0</v>
      </c>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row>
    <row r="366" spans="1:54" ht="32.25" customHeight="1">
      <c r="A366" s="89" t="s">
        <v>52</v>
      </c>
      <c r="B366" s="83" t="s">
        <v>130</v>
      </c>
      <c r="C366" s="81"/>
      <c r="D366" s="62"/>
      <c r="E366" s="42">
        <f t="shared" si="221"/>
        <v>0</v>
      </c>
      <c r="F366" s="68"/>
      <c r="G366" s="68">
        <f t="shared" si="209"/>
        <v>0</v>
      </c>
      <c r="H366" s="68"/>
      <c r="I366" s="68"/>
      <c r="J366" s="68"/>
      <c r="K366" s="68"/>
      <c r="L366" s="68"/>
      <c r="M366" s="68"/>
      <c r="N366" s="68"/>
      <c r="O366" s="68"/>
      <c r="P366" s="68"/>
      <c r="Q366" s="68"/>
      <c r="R366" s="68"/>
      <c r="S366" s="68"/>
      <c r="T366" s="68">
        <f t="shared" si="210"/>
        <v>0</v>
      </c>
      <c r="U366" s="68"/>
      <c r="V366" s="68"/>
      <c r="W366" s="68"/>
      <c r="X366" s="68"/>
      <c r="Y366" s="68">
        <f>IF(OR($C366="932",$C366="934",$C366="949"),$D366,)</f>
        <v>0</v>
      </c>
      <c r="Z366" s="68"/>
      <c r="AA366" s="68">
        <f t="shared" si="208"/>
        <v>0</v>
      </c>
      <c r="AB366" s="68"/>
      <c r="AC366" s="68"/>
      <c r="AD366" s="42">
        <f t="shared" si="222"/>
        <v>0</v>
      </c>
      <c r="AE366" s="68"/>
      <c r="AF366" s="68">
        <f t="shared" ref="AF366" si="229">AG366+AH366+AI366+AJ366+AK366+AL366+AM366+AN366+AO366+AP366+AT366+AU366+AV366+AW366</f>
        <v>0</v>
      </c>
      <c r="AG366" s="68"/>
      <c r="AH366" s="68"/>
      <c r="AI366" s="68"/>
      <c r="AJ366" s="68"/>
      <c r="AK366" s="68"/>
      <c r="AL366" s="68"/>
      <c r="AM366" s="68"/>
      <c r="AN366" s="68"/>
      <c r="AO366" s="68"/>
      <c r="AP366" s="68"/>
      <c r="AQ366" s="68"/>
      <c r="AR366" s="68"/>
      <c r="AS366" s="68">
        <f t="shared" ref="AS366" si="230">AP366-AQ366-AR366</f>
        <v>0</v>
      </c>
      <c r="AT366" s="68"/>
      <c r="AU366" s="68"/>
      <c r="AV366" s="68"/>
      <c r="AW366" s="68"/>
      <c r="AX366" s="68">
        <f>IF(OR($C366="932",$C366="934",$C366="949"),$D366,)</f>
        <v>0</v>
      </c>
      <c r="AY366" s="68"/>
      <c r="AZ366" s="68">
        <f t="shared" ref="AZ366" si="231">BA366+BB366</f>
        <v>0</v>
      </c>
      <c r="BA366" s="68"/>
      <c r="BB366" s="68"/>
    </row>
    <row r="367" spans="1:54">
      <c r="A367" s="111"/>
      <c r="B367" s="112"/>
      <c r="C367" s="113"/>
      <c r="D367" s="114"/>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5"/>
      <c r="AY367" s="115"/>
      <c r="AZ367" s="115"/>
      <c r="BA367" s="115"/>
      <c r="BB367" s="115"/>
    </row>
  </sheetData>
  <mergeCells count="65">
    <mergeCell ref="A7:A11"/>
    <mergeCell ref="B7:B11"/>
    <mergeCell ref="M9:M11"/>
    <mergeCell ref="N9:N11"/>
    <mergeCell ref="O9:O11"/>
    <mergeCell ref="C6:C11"/>
    <mergeCell ref="D6:AC6"/>
    <mergeCell ref="D8:D11"/>
    <mergeCell ref="E8:E11"/>
    <mergeCell ref="F8:F11"/>
    <mergeCell ref="G8:G11"/>
    <mergeCell ref="AA10:AA11"/>
    <mergeCell ref="E7:AC7"/>
    <mergeCell ref="P9:P11"/>
    <mergeCell ref="Q9:Q11"/>
    <mergeCell ref="H8:X8"/>
    <mergeCell ref="H9:H11"/>
    <mergeCell ref="I9:I11"/>
    <mergeCell ref="J9:J11"/>
    <mergeCell ref="K9:K11"/>
    <mergeCell ref="L9:L11"/>
    <mergeCell ref="R10:R11"/>
    <mergeCell ref="S10:S11"/>
    <mergeCell ref="T10:T11"/>
    <mergeCell ref="R9:T9"/>
    <mergeCell ref="U9:U11"/>
    <mergeCell ref="W9:W11"/>
    <mergeCell ref="V9:V11"/>
    <mergeCell ref="AB10:AB11"/>
    <mergeCell ref="AC10:AC11"/>
    <mergeCell ref="X9:X11"/>
    <mergeCell ref="Y8:Y11"/>
    <mergeCell ref="Z8:Z11"/>
    <mergeCell ref="AA8:AC9"/>
    <mergeCell ref="AZ8:BB9"/>
    <mergeCell ref="AZ10:AZ11"/>
    <mergeCell ref="BA10:BA11"/>
    <mergeCell ref="BB10:BB11"/>
    <mergeCell ref="AT9:AT11"/>
    <mergeCell ref="AG8:AW8"/>
    <mergeCell ref="AX8:AX11"/>
    <mergeCell ref="AY8:AY11"/>
    <mergeCell ref="AK9:AK11"/>
    <mergeCell ref="AL9:AL11"/>
    <mergeCell ref="AM9:AM11"/>
    <mergeCell ref="AN9:AN11"/>
    <mergeCell ref="AG9:AG11"/>
    <mergeCell ref="AH9:AH11"/>
    <mergeCell ref="AI9:AI11"/>
    <mergeCell ref="A3:BB3"/>
    <mergeCell ref="A4:BB4"/>
    <mergeCell ref="AJ9:AJ11"/>
    <mergeCell ref="AQ9:AS9"/>
    <mergeCell ref="AU9:AU11"/>
    <mergeCell ref="AV9:AV11"/>
    <mergeCell ref="AW9:AW11"/>
    <mergeCell ref="AQ10:AQ11"/>
    <mergeCell ref="AR10:AR11"/>
    <mergeCell ref="AS10:AS11"/>
    <mergeCell ref="AO9:AO11"/>
    <mergeCell ref="AP9:AP11"/>
    <mergeCell ref="AD7:BB7"/>
    <mergeCell ref="AD8:AD11"/>
    <mergeCell ref="AE8:AE11"/>
    <mergeCell ref="AF8:AF11"/>
  </mergeCells>
  <printOptions horizontalCentered="1"/>
  <pageMargins left="0" right="0" top="0.47244094488188981" bottom="0.51" header="0.31496062992125984" footer="0"/>
  <pageSetup paperSize="9" orientation="landscape" r:id="rId1"/>
  <headerFooter>
    <oddFooter>&amp;R&amp;P/&amp;N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Thu nội địa</vt:lpstr>
      <vt:lpstr>Tong hop phan cong</vt:lpstr>
      <vt:lpstr>Bieu 48_Xong</vt:lpstr>
      <vt:lpstr>Bieu 50</vt:lpstr>
      <vt:lpstr>Bieu 51_Xong</vt:lpstr>
      <vt:lpstr>bieu 52_Xong</vt:lpstr>
      <vt:lpstr>bieu 53_Xong</vt:lpstr>
      <vt:lpstr>Bieu 54_Xong</vt:lpstr>
      <vt:lpstr>Bieu 54</vt:lpstr>
      <vt:lpstr>Bieu 58_Xong</vt:lpstr>
      <vt:lpstr>Bieu 59_Xong</vt:lpstr>
      <vt:lpstr>Bieu 61_Xong</vt:lpstr>
      <vt:lpstr>Biêu 63_xong</vt:lpstr>
      <vt:lpstr>Biêu 64-xong</vt:lpstr>
      <vt:lpstr>Bieu 61_Hien vo</vt:lpstr>
      <vt:lpstr>'Bieu 48_Xong'!chuong_phuluc_48_name</vt:lpstr>
      <vt:lpstr>'Bieu 50'!chuong_phuluc_50_name</vt:lpstr>
      <vt:lpstr>'Bieu 51_Xong'!chuong_phuluc_51_name</vt:lpstr>
      <vt:lpstr>'bieu 52_Xong'!chuong_phuluc_52_name</vt:lpstr>
      <vt:lpstr>'bieu 53_Xong'!chuong_phuluc_53_name</vt:lpstr>
      <vt:lpstr>'Bieu 58_Xong'!chuong_phuluc_58_name</vt:lpstr>
      <vt:lpstr>'Bieu 59_Xong'!chuong_phuluc_59_name</vt:lpstr>
      <vt:lpstr>'Bieu 51_Xong'!Print_Area</vt:lpstr>
      <vt:lpstr>'bieu 53_Xong'!Print_Area</vt:lpstr>
      <vt:lpstr>'Bieu 54_Xong'!Print_Area</vt:lpstr>
      <vt:lpstr>'Bieu 58_Xong'!Print_Area</vt:lpstr>
      <vt:lpstr>'Bieu 54'!Print_Titles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2021-11-10T12:45:29Z</dcterms:modified>
</cp:coreProperties>
</file>