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20640" windowHeight="11160" activeTab="1"/>
  </bookViews>
  <sheets>
    <sheet name="Bieu 1" sheetId="7" r:id="rId1"/>
    <sheet name="Bieu 2" sheetId="4" r:id="rId2"/>
    <sheet name="Thu chi 2021_2025 " sheetId="9" state="hidden" r:id="rId3"/>
    <sheet name="Thu chi 2021_2025 (chi tiet)" sheetId="6" state="hidden" r:id="rId4"/>
    <sheet name="Sheet1" sheetId="8" state="hidden" r:id="rId5"/>
  </sheets>
  <externalReferences>
    <externalReference r:id="rId6"/>
  </externalReferences>
  <calcPr calcId="191029"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4" l="1"/>
  <c r="K17" i="4"/>
  <c r="K13" i="4"/>
  <c r="K16" i="4"/>
  <c r="D66" i="4"/>
  <c r="K65" i="4"/>
  <c r="K64" i="4"/>
  <c r="D65" i="4"/>
  <c r="J64" i="4"/>
  <c r="I64" i="4"/>
  <c r="H64" i="4"/>
  <c r="G64" i="4"/>
  <c r="F64" i="4"/>
  <c r="D64" i="4"/>
  <c r="D63" i="4"/>
  <c r="D62" i="4"/>
  <c r="K61" i="4"/>
  <c r="J61" i="4"/>
  <c r="I61" i="4"/>
  <c r="H61" i="4"/>
  <c r="G61" i="4"/>
  <c r="F61" i="4"/>
  <c r="F67" i="4"/>
  <c r="G58" i="4"/>
  <c r="K57" i="4"/>
  <c r="I57" i="4"/>
  <c r="H57" i="4"/>
  <c r="D55" i="4"/>
  <c r="D54" i="4"/>
  <c r="K53" i="4"/>
  <c r="J53" i="4"/>
  <c r="D53" i="4"/>
  <c r="D52" i="4"/>
  <c r="I51" i="4"/>
  <c r="H51" i="4"/>
  <c r="G51" i="4"/>
  <c r="F51" i="4"/>
  <c r="D51" i="4"/>
  <c r="D48" i="4"/>
  <c r="K49" i="4"/>
  <c r="J49" i="4"/>
  <c r="I45" i="4"/>
  <c r="H45" i="4"/>
  <c r="I46" i="4"/>
  <c r="J45" i="4"/>
  <c r="G45" i="4"/>
  <c r="F45" i="4"/>
  <c r="G46" i="4"/>
  <c r="D45" i="4"/>
  <c r="C45" i="4"/>
  <c r="C38" i="4"/>
  <c r="C41" i="4"/>
  <c r="J43" i="4"/>
  <c r="F43" i="4"/>
  <c r="K38" i="4"/>
  <c r="H42" i="4"/>
  <c r="I43" i="4"/>
  <c r="G42" i="4"/>
  <c r="D42" i="4"/>
  <c r="E38" i="4"/>
  <c r="E41" i="4"/>
  <c r="I38" i="4"/>
  <c r="I50" i="4"/>
  <c r="H38" i="4"/>
  <c r="H50" i="4"/>
  <c r="F38" i="4"/>
  <c r="F40" i="4"/>
  <c r="E47" i="4"/>
  <c r="D37" i="4"/>
  <c r="D36" i="4"/>
  <c r="P33" i="4"/>
  <c r="P30" i="4"/>
  <c r="P27" i="4"/>
  <c r="O33" i="4"/>
  <c r="N33" i="4"/>
  <c r="M33" i="4"/>
  <c r="L33" i="4"/>
  <c r="L30" i="4"/>
  <c r="L27" i="4"/>
  <c r="J33" i="4"/>
  <c r="I33" i="4"/>
  <c r="H33" i="4"/>
  <c r="G33" i="4"/>
  <c r="F33" i="4"/>
  <c r="D33" i="4"/>
  <c r="E33" i="4"/>
  <c r="E35" i="4"/>
  <c r="I31" i="4"/>
  <c r="O30" i="4"/>
  <c r="O27" i="4"/>
  <c r="N30" i="4"/>
  <c r="M30" i="4"/>
  <c r="J30" i="4"/>
  <c r="G30" i="4"/>
  <c r="G57" i="4"/>
  <c r="F30" i="4"/>
  <c r="F27" i="4"/>
  <c r="E30" i="4"/>
  <c r="E32" i="4"/>
  <c r="E29" i="4"/>
  <c r="M27" i="4"/>
  <c r="I27" i="4"/>
  <c r="I32" i="4"/>
  <c r="C27" i="4"/>
  <c r="G9" i="4"/>
  <c r="G26" i="4"/>
  <c r="I25" i="4"/>
  <c r="H25" i="4"/>
  <c r="F24" i="4"/>
  <c r="G25" i="4"/>
  <c r="F25" i="4"/>
  <c r="D24" i="4"/>
  <c r="K25" i="4"/>
  <c r="C24" i="4"/>
  <c r="C9" i="4"/>
  <c r="J22" i="4"/>
  <c r="I22" i="4"/>
  <c r="H22" i="4"/>
  <c r="G22" i="4"/>
  <c r="F22" i="4"/>
  <c r="D21" i="4"/>
  <c r="K22" i="4"/>
  <c r="D17" i="4"/>
  <c r="D16" i="4"/>
  <c r="J14" i="4"/>
  <c r="I14" i="4"/>
  <c r="H14" i="4"/>
  <c r="F13" i="4"/>
  <c r="G14" i="4"/>
  <c r="E13" i="4"/>
  <c r="E9" i="4"/>
  <c r="E26" i="4"/>
  <c r="J9" i="4"/>
  <c r="I9" i="4"/>
  <c r="J10" i="4"/>
  <c r="K9" i="4"/>
  <c r="K26" i="4"/>
  <c r="J15" i="4"/>
  <c r="I8" i="4"/>
  <c r="I11" i="4"/>
  <c r="H9" i="4"/>
  <c r="H8" i="4"/>
  <c r="H11" i="4"/>
  <c r="G15" i="4"/>
  <c r="J8" i="4"/>
  <c r="J11" i="4"/>
  <c r="G8" i="4"/>
  <c r="F8" i="4"/>
  <c r="D8" i="4"/>
  <c r="J25" i="7"/>
  <c r="E25" i="7"/>
  <c r="E24" i="7"/>
  <c r="J23" i="7"/>
  <c r="I23" i="7"/>
  <c r="H23" i="7"/>
  <c r="G23" i="7"/>
  <c r="E22" i="7"/>
  <c r="J21" i="7"/>
  <c r="I21" i="7"/>
  <c r="H21" i="7"/>
  <c r="G21" i="7"/>
  <c r="E20" i="7"/>
  <c r="E19" i="7"/>
  <c r="E18" i="7"/>
  <c r="D18" i="7"/>
  <c r="E17" i="7"/>
  <c r="D17" i="7"/>
  <c r="J15" i="7"/>
  <c r="J16" i="7"/>
  <c r="I15" i="7"/>
  <c r="I16" i="7"/>
  <c r="G15" i="7"/>
  <c r="G16" i="7"/>
  <c r="F15" i="7"/>
  <c r="F16" i="7"/>
  <c r="K15" i="7"/>
  <c r="H15" i="7"/>
  <c r="H16" i="7"/>
  <c r="E15" i="7"/>
  <c r="E8" i="7"/>
  <c r="E16" i="7"/>
  <c r="E10" i="7"/>
  <c r="D30" i="4"/>
  <c r="K31" i="4"/>
  <c r="I34" i="4"/>
  <c r="J38" i="4"/>
  <c r="J47" i="4"/>
  <c r="K11" i="4"/>
  <c r="K15" i="4"/>
  <c r="G27" i="4"/>
  <c r="G29" i="4"/>
  <c r="J34" i="4"/>
  <c r="N27" i="4"/>
  <c r="E44" i="4"/>
  <c r="K47" i="4"/>
  <c r="G35" i="4"/>
  <c r="D13" i="4"/>
  <c r="G23" i="4"/>
  <c r="H27" i="4"/>
  <c r="H32" i="4"/>
  <c r="H31" i="4"/>
  <c r="I35" i="4"/>
  <c r="H47" i="4"/>
  <c r="F46" i="4"/>
  <c r="E15" i="4"/>
  <c r="I47" i="4"/>
  <c r="D61" i="4"/>
  <c r="F29" i="4"/>
  <c r="F28" i="4"/>
  <c r="G67" i="4"/>
  <c r="H58" i="4"/>
  <c r="H67" i="4"/>
  <c r="I58" i="4"/>
  <c r="I67" i="4"/>
  <c r="J58" i="4"/>
  <c r="J67" i="4"/>
  <c r="K58" i="4"/>
  <c r="I69" i="4"/>
  <c r="J69" i="4"/>
  <c r="G59" i="4"/>
  <c r="D38" i="4"/>
  <c r="K43" i="4"/>
  <c r="D44" i="4"/>
  <c r="F35" i="4"/>
  <c r="E40" i="4"/>
  <c r="K33" i="4"/>
  <c r="K41" i="4"/>
  <c r="K39" i="4"/>
  <c r="K44" i="4"/>
  <c r="K50" i="4"/>
  <c r="G38" i="4"/>
  <c r="F41" i="4"/>
  <c r="F47" i="4"/>
  <c r="F31" i="4"/>
  <c r="H40" i="4"/>
  <c r="J57" i="4"/>
  <c r="F60" i="4"/>
  <c r="F69" i="4"/>
  <c r="I15" i="4"/>
  <c r="H26" i="4"/>
  <c r="F32" i="4"/>
  <c r="E11" i="4"/>
  <c r="K14" i="4"/>
  <c r="J23" i="4"/>
  <c r="J26" i="4"/>
  <c r="J27" i="4"/>
  <c r="J35" i="4"/>
  <c r="G28" i="4"/>
  <c r="G31" i="4"/>
  <c r="G32" i="4"/>
  <c r="I40" i="4"/>
  <c r="H41" i="4"/>
  <c r="F44" i="4"/>
  <c r="H46" i="4"/>
  <c r="E50" i="4"/>
  <c r="G60" i="4"/>
  <c r="H23" i="4"/>
  <c r="I26" i="4"/>
  <c r="D9" i="4"/>
  <c r="D23" i="4"/>
  <c r="K23" i="4"/>
  <c r="H28" i="4"/>
  <c r="H29" i="4"/>
  <c r="J40" i="4"/>
  <c r="I41" i="4"/>
  <c r="G43" i="4"/>
  <c r="G44" i="4"/>
  <c r="F50" i="4"/>
  <c r="H60" i="4"/>
  <c r="H15" i="4"/>
  <c r="I23" i="4"/>
  <c r="G11" i="4"/>
  <c r="I28" i="4"/>
  <c r="I29" i="4"/>
  <c r="F34" i="4"/>
  <c r="J41" i="4"/>
  <c r="H43" i="4"/>
  <c r="H44" i="4"/>
  <c r="J46" i="4"/>
  <c r="I60" i="4"/>
  <c r="F9" i="4"/>
  <c r="F15" i="4"/>
  <c r="H10" i="4"/>
  <c r="F14" i="4"/>
  <c r="E23" i="4"/>
  <c r="J31" i="4"/>
  <c r="G34" i="4"/>
  <c r="I44" i="4"/>
  <c r="K46" i="4"/>
  <c r="F57" i="4"/>
  <c r="I59" i="4"/>
  <c r="J60" i="4"/>
  <c r="I10" i="4"/>
  <c r="H34" i="4"/>
  <c r="J44" i="4"/>
  <c r="J50" i="4"/>
  <c r="H35" i="4"/>
  <c r="H68" i="4"/>
  <c r="F23" i="4"/>
  <c r="F10" i="4"/>
  <c r="F11" i="4"/>
  <c r="K27" i="4"/>
  <c r="K35" i="4"/>
  <c r="K34" i="4"/>
  <c r="D58" i="4"/>
  <c r="D11" i="4"/>
  <c r="K10" i="4"/>
  <c r="D41" i="4"/>
  <c r="D50" i="4"/>
  <c r="K60" i="4"/>
  <c r="K59" i="4"/>
  <c r="K67" i="4"/>
  <c r="J68" i="4"/>
  <c r="J59" i="4"/>
  <c r="H59" i="4"/>
  <c r="I68" i="4"/>
  <c r="F26" i="4"/>
  <c r="D57" i="4"/>
  <c r="F68" i="4"/>
  <c r="F59" i="4"/>
  <c r="G10" i="4"/>
  <c r="J29" i="4"/>
  <c r="J28" i="4"/>
  <c r="G50" i="4"/>
  <c r="G47" i="4"/>
  <c r="G41" i="4"/>
  <c r="G40" i="4"/>
  <c r="D15" i="4"/>
  <c r="D47" i="4"/>
  <c r="D26" i="4"/>
  <c r="K40" i="4"/>
  <c r="J32" i="4"/>
  <c r="G69" i="4"/>
  <c r="H69" i="4"/>
  <c r="G68" i="4"/>
  <c r="D27" i="4"/>
  <c r="K69" i="4"/>
  <c r="K68" i="4"/>
  <c r="D29" i="4"/>
  <c r="D32" i="4"/>
  <c r="D35" i="4"/>
  <c r="D59" i="4"/>
  <c r="K32" i="4"/>
  <c r="K29" i="4"/>
  <c r="K28" i="4"/>
  <c r="D67" i="4"/>
  <c r="D69" i="4"/>
  <c r="D60" i="4"/>
  <c r="D68" i="4"/>
  <c r="N34" i="9"/>
  <c r="M34" i="9"/>
  <c r="L34" i="9"/>
  <c r="K34" i="9"/>
  <c r="J34" i="9"/>
  <c r="I34" i="9"/>
  <c r="H34" i="9"/>
  <c r="G34" i="9"/>
  <c r="F34" i="9"/>
  <c r="E34" i="9"/>
  <c r="D34" i="9"/>
  <c r="D32" i="9"/>
  <c r="E31" i="9"/>
  <c r="G31" i="9"/>
  <c r="H31" i="9"/>
  <c r="D31" i="9"/>
  <c r="D30" i="9"/>
  <c r="D29" i="9"/>
  <c r="E27" i="9"/>
  <c r="E26" i="9"/>
  <c r="G26" i="9"/>
  <c r="D25" i="9"/>
  <c r="E24" i="9"/>
  <c r="E23" i="9"/>
  <c r="D23" i="9"/>
  <c r="D21" i="9"/>
  <c r="E20" i="9"/>
  <c r="O19" i="9"/>
  <c r="N19" i="9"/>
  <c r="L19" i="9"/>
  <c r="J19" i="9"/>
  <c r="H19" i="9"/>
  <c r="F19" i="9"/>
  <c r="O18" i="9"/>
  <c r="N18" i="9"/>
  <c r="L18" i="9"/>
  <c r="J18" i="9"/>
  <c r="H18" i="9"/>
  <c r="O17" i="9"/>
  <c r="N17" i="9"/>
  <c r="L17" i="9"/>
  <c r="J17" i="9"/>
  <c r="H17" i="9"/>
  <c r="F17" i="9"/>
  <c r="M16" i="9"/>
  <c r="M9" i="9"/>
  <c r="K16" i="9"/>
  <c r="I16" i="9"/>
  <c r="H16" i="9"/>
  <c r="F16" i="9"/>
  <c r="O15" i="9"/>
  <c r="N15" i="9"/>
  <c r="L15" i="9"/>
  <c r="J15" i="9"/>
  <c r="H15" i="9"/>
  <c r="F15" i="9"/>
  <c r="O14" i="9"/>
  <c r="N14" i="9"/>
  <c r="L14" i="9"/>
  <c r="J14" i="9"/>
  <c r="H14" i="9"/>
  <c r="F14" i="9"/>
  <c r="O13" i="9"/>
  <c r="N13" i="9"/>
  <c r="L13" i="9"/>
  <c r="J13" i="9"/>
  <c r="H13" i="9"/>
  <c r="F13" i="9"/>
  <c r="O12" i="9"/>
  <c r="N12" i="9"/>
  <c r="L12" i="9"/>
  <c r="J12" i="9"/>
  <c r="H12" i="9"/>
  <c r="F12" i="9"/>
  <c r="G9" i="9"/>
  <c r="E9" i="9"/>
  <c r="E22" i="9"/>
  <c r="D9" i="9"/>
  <c r="D8" i="9"/>
  <c r="L16" i="9"/>
  <c r="P17" i="9"/>
  <c r="P13" i="9"/>
  <c r="K9" i="9"/>
  <c r="P19" i="9"/>
  <c r="P12" i="9"/>
  <c r="O16" i="9"/>
  <c r="O9" i="9"/>
  <c r="E8" i="9"/>
  <c r="E11" i="9"/>
  <c r="P15" i="9"/>
  <c r="D11" i="9"/>
  <c r="P14" i="9"/>
  <c r="P18" i="9"/>
  <c r="G23" i="9"/>
  <c r="I26" i="9"/>
  <c r="M22" i="9"/>
  <c r="M10" i="9"/>
  <c r="N9" i="9"/>
  <c r="E21" i="9"/>
  <c r="G22" i="9"/>
  <c r="H9" i="9"/>
  <c r="J16" i="9"/>
  <c r="I9" i="9"/>
  <c r="L9" i="9"/>
  <c r="D10" i="9"/>
  <c r="G20" i="9"/>
  <c r="G8" i="9"/>
  <c r="K22" i="9"/>
  <c r="I31" i="9"/>
  <c r="G10" i="9"/>
  <c r="K10" i="9"/>
  <c r="N16" i="9"/>
  <c r="F20" i="9"/>
  <c r="E10" i="9"/>
  <c r="P16" i="9"/>
  <c r="H8" i="9"/>
  <c r="G11" i="9"/>
  <c r="F10" i="9"/>
  <c r="E32" i="9"/>
  <c r="J31" i="9"/>
  <c r="K31" i="9"/>
  <c r="G21" i="9"/>
  <c r="G32" i="9"/>
  <c r="N10" i="9"/>
  <c r="K26" i="9"/>
  <c r="I23" i="9"/>
  <c r="H20" i="9"/>
  <c r="I20" i="9"/>
  <c r="H10" i="9"/>
  <c r="I10" i="9"/>
  <c r="J10" i="9"/>
  <c r="J9" i="9"/>
  <c r="P9" i="9"/>
  <c r="I22" i="9"/>
  <c r="I21" i="9"/>
  <c r="I32" i="9"/>
  <c r="J32" i="9"/>
  <c r="K23" i="9"/>
  <c r="K21" i="9"/>
  <c r="M26" i="9"/>
  <c r="M23" i="9"/>
  <c r="M21" i="9"/>
  <c r="K20" i="9"/>
  <c r="J20" i="9"/>
  <c r="M31" i="9"/>
  <c r="L31" i="9"/>
  <c r="O31" i="9"/>
  <c r="E30" i="9"/>
  <c r="E29" i="9"/>
  <c r="F32" i="9"/>
  <c r="I8" i="9"/>
  <c r="O22" i="9"/>
  <c r="O10" i="9"/>
  <c r="H32" i="9"/>
  <c r="G30" i="9"/>
  <c r="L10" i="9"/>
  <c r="P10" i="9"/>
  <c r="I30" i="9"/>
  <c r="I29" i="9"/>
  <c r="H30" i="9"/>
  <c r="G29" i="9"/>
  <c r="O23" i="9"/>
  <c r="N31" i="9"/>
  <c r="P31" i="9"/>
  <c r="L20" i="9"/>
  <c r="M20" i="9"/>
  <c r="K8" i="9"/>
  <c r="J8" i="9"/>
  <c r="I11" i="9"/>
  <c r="J30" i="9"/>
  <c r="M32" i="9"/>
  <c r="M30" i="9"/>
  <c r="M29" i="9"/>
  <c r="K32" i="9"/>
  <c r="O21" i="9"/>
  <c r="L8" i="9"/>
  <c r="K11" i="9"/>
  <c r="N20" i="9"/>
  <c r="P20" i="9"/>
  <c r="M8" i="9"/>
  <c r="O8" i="9"/>
  <c r="O11" i="9"/>
  <c r="O20" i="9"/>
  <c r="L32" i="9"/>
  <c r="O32" i="9"/>
  <c r="K30" i="9"/>
  <c r="K29" i="9"/>
  <c r="N32" i="9"/>
  <c r="N30" i="9"/>
  <c r="L30" i="9"/>
  <c r="P30" i="9"/>
  <c r="O30" i="9"/>
  <c r="O29" i="9"/>
  <c r="P32" i="9"/>
  <c r="Q8" i="9"/>
  <c r="N8" i="9"/>
  <c r="P8" i="9"/>
  <c r="M11" i="9"/>
  <c r="E19" i="6"/>
  <c r="F19" i="6"/>
  <c r="N33" i="6"/>
  <c r="M33" i="6"/>
  <c r="L33" i="6"/>
  <c r="K33" i="6"/>
  <c r="J33" i="6"/>
  <c r="I33" i="6"/>
  <c r="H33" i="6"/>
  <c r="G33" i="6"/>
  <c r="F33" i="6"/>
  <c r="E33" i="6"/>
  <c r="D33" i="6"/>
  <c r="D31" i="6"/>
  <c r="E30" i="6"/>
  <c r="G30" i="6"/>
  <c r="H30" i="6"/>
  <c r="D30" i="6"/>
  <c r="D29" i="6"/>
  <c r="O28" i="6"/>
  <c r="E26" i="6"/>
  <c r="E25" i="6"/>
  <c r="G25" i="6"/>
  <c r="D24" i="6"/>
  <c r="E23" i="6"/>
  <c r="E22" i="6"/>
  <c r="D22" i="6"/>
  <c r="D20" i="6"/>
  <c r="O18" i="6"/>
  <c r="N18" i="6"/>
  <c r="L18" i="6"/>
  <c r="J18" i="6"/>
  <c r="H18" i="6"/>
  <c r="F18" i="6"/>
  <c r="O17" i="6"/>
  <c r="N17" i="6"/>
  <c r="L17" i="6"/>
  <c r="J17" i="6"/>
  <c r="H17" i="6"/>
  <c r="O16" i="6"/>
  <c r="N16" i="6"/>
  <c r="L16" i="6"/>
  <c r="J16" i="6"/>
  <c r="H16" i="6"/>
  <c r="F16" i="6"/>
  <c r="M15" i="6"/>
  <c r="M8" i="6"/>
  <c r="M21" i="6"/>
  <c r="K15" i="6"/>
  <c r="K8" i="6"/>
  <c r="I15" i="6"/>
  <c r="J15" i="6"/>
  <c r="H15" i="6"/>
  <c r="F15" i="6"/>
  <c r="O14" i="6"/>
  <c r="N14" i="6"/>
  <c r="L14" i="6"/>
  <c r="J14" i="6"/>
  <c r="H14" i="6"/>
  <c r="F14" i="6"/>
  <c r="O13" i="6"/>
  <c r="N13" i="6"/>
  <c r="L13" i="6"/>
  <c r="J13" i="6"/>
  <c r="H13" i="6"/>
  <c r="F13" i="6"/>
  <c r="O12" i="6"/>
  <c r="N12" i="6"/>
  <c r="L12" i="6"/>
  <c r="J12" i="6"/>
  <c r="H12" i="6"/>
  <c r="F12" i="6"/>
  <c r="O11" i="6"/>
  <c r="N11" i="6"/>
  <c r="L11" i="6"/>
  <c r="J11" i="6"/>
  <c r="H11" i="6"/>
  <c r="F11" i="6"/>
  <c r="I8" i="6"/>
  <c r="G8" i="6"/>
  <c r="E8" i="6"/>
  <c r="E21" i="6"/>
  <c r="D8" i="6"/>
  <c r="D9" i="6"/>
  <c r="D7" i="6"/>
  <c r="P12" i="6"/>
  <c r="P13" i="6"/>
  <c r="G19" i="6"/>
  <c r="I19" i="6"/>
  <c r="I7" i="6"/>
  <c r="I10" i="6"/>
  <c r="P14" i="6"/>
  <c r="P16" i="6"/>
  <c r="D28" i="6"/>
  <c r="I30" i="6"/>
  <c r="K30" i="6"/>
  <c r="L30" i="6"/>
  <c r="E20" i="6"/>
  <c r="P11" i="6"/>
  <c r="N15" i="6"/>
  <c r="P18" i="6"/>
  <c r="G21" i="6"/>
  <c r="J8" i="6"/>
  <c r="P17" i="6"/>
  <c r="E7" i="6"/>
  <c r="I25" i="6"/>
  <c r="G22" i="6"/>
  <c r="K9" i="6"/>
  <c r="L8" i="6"/>
  <c r="K21" i="6"/>
  <c r="N8" i="6"/>
  <c r="E9" i="6"/>
  <c r="I9" i="6"/>
  <c r="M9" i="6"/>
  <c r="D10" i="6"/>
  <c r="L15" i="6"/>
  <c r="P15" i="6"/>
  <c r="I21" i="6"/>
  <c r="O15" i="6"/>
  <c r="O8" i="6"/>
  <c r="H8" i="6"/>
  <c r="G9" i="6"/>
  <c r="G20" i="6"/>
  <c r="G31" i="6"/>
  <c r="N9" i="6"/>
  <c r="K19" i="6"/>
  <c r="J19" i="6"/>
  <c r="H19" i="6"/>
  <c r="G7" i="6"/>
  <c r="H7" i="6"/>
  <c r="J30" i="6"/>
  <c r="M30" i="6"/>
  <c r="O30" i="6"/>
  <c r="O21" i="6"/>
  <c r="E31" i="6"/>
  <c r="P8" i="6"/>
  <c r="L9" i="6"/>
  <c r="E10" i="6"/>
  <c r="G29" i="6"/>
  <c r="H9" i="6"/>
  <c r="J9" i="6"/>
  <c r="O9" i="6"/>
  <c r="F9" i="6"/>
  <c r="K25" i="6"/>
  <c r="I22" i="6"/>
  <c r="N30" i="6"/>
  <c r="P30" i="6"/>
  <c r="G10" i="6"/>
  <c r="J7" i="6"/>
  <c r="L19" i="6"/>
  <c r="K7" i="6"/>
  <c r="M19" i="6"/>
  <c r="I20" i="6"/>
  <c r="F31" i="6"/>
  <c r="E29" i="6"/>
  <c r="H29" i="6"/>
  <c r="H31" i="6"/>
  <c r="P9" i="6"/>
  <c r="K22" i="6"/>
  <c r="K20" i="6"/>
  <c r="K31" i="6"/>
  <c r="M25" i="6"/>
  <c r="M22" i="6"/>
  <c r="M20" i="6"/>
  <c r="M31" i="6"/>
  <c r="K10" i="6"/>
  <c r="L7" i="6"/>
  <c r="O19" i="6"/>
  <c r="M7" i="6"/>
  <c r="N19" i="6"/>
  <c r="P19" i="6"/>
  <c r="I31" i="6"/>
  <c r="L31" i="6"/>
  <c r="O20" i="6"/>
  <c r="O22" i="6"/>
  <c r="N31" i="6"/>
  <c r="M29" i="6"/>
  <c r="K29" i="6"/>
  <c r="N7" i="6"/>
  <c r="P7" i="6"/>
  <c r="Q7" i="6"/>
  <c r="M10" i="6"/>
  <c r="O7" i="6"/>
  <c r="O10" i="6"/>
  <c r="J31" i="6"/>
  <c r="I29" i="6"/>
  <c r="J29" i="6"/>
  <c r="O31" i="6"/>
  <c r="P31" i="6"/>
  <c r="N29" i="6"/>
  <c r="L29" i="6"/>
  <c r="P29" i="6"/>
  <c r="O29" i="6"/>
</calcChain>
</file>

<file path=xl/sharedStrings.xml><?xml version="1.0" encoding="utf-8"?>
<sst xmlns="http://schemas.openxmlformats.org/spreadsheetml/2006/main" count="353" uniqueCount="189">
  <si>
    <t>STT</t>
  </si>
  <si>
    <t>Nội dung</t>
  </si>
  <si>
    <t>Đơn vị tính</t>
  </si>
  <si>
    <t>Tổng giai đoạn</t>
  </si>
  <si>
    <t>A</t>
  </si>
  <si>
    <t>B</t>
  </si>
  <si>
    <t>Triệu đồng</t>
  </si>
  <si>
    <t>Tốc độ tăng trưởng GRDP</t>
  </si>
  <si>
    <t>%</t>
  </si>
  <si>
    <t>Cơ cấu kinh tế</t>
  </si>
  <si>
    <t>-</t>
  </si>
  <si>
    <t>Nông, lâm, ngư nghiệp</t>
  </si>
  <si>
    <t>Công nghiệp, xây dựng</t>
  </si>
  <si>
    <t>Dịch vụ</t>
  </si>
  <si>
    <t>Chỉ số giá tiêu dùng (CPI)</t>
  </si>
  <si>
    <t>Tỷ lệ so với GRDP</t>
  </si>
  <si>
    <t>Vốn đầu tư trực tiếp nước ngoài</t>
  </si>
  <si>
    <t xml:space="preserve">Kim ngạch xuất khẩu </t>
  </si>
  <si>
    <t>Triệu USD</t>
  </si>
  <si>
    <t>Tốc độ tăng</t>
  </si>
  <si>
    <t>Kim ngạch nhập khẩu</t>
  </si>
  <si>
    <t>1.000 người</t>
  </si>
  <si>
    <t>Giải quyết việc làm mới</t>
  </si>
  <si>
    <t>1.000 lao động</t>
  </si>
  <si>
    <t>Tỷ lệ lao động qua đào tạo</t>
  </si>
  <si>
    <t>Tỷ lệ hộ nghèo</t>
  </si>
  <si>
    <t>Tỷ lệ giảm hộ nghèo</t>
  </si>
  <si>
    <t>%/năm</t>
  </si>
  <si>
    <t>Tỷ lệ xã đạt tiêu chuẩn nông thôn mới</t>
  </si>
  <si>
    <t>Số xã đạt tiêu chuẩn nông thôn mới (lũy kế)</t>
  </si>
  <si>
    <t>xã</t>
  </si>
  <si>
    <t>Đơn vị: Triệu đồng</t>
  </si>
  <si>
    <t xml:space="preserve">TỔNG THU NSNN TRÊN ĐỊA BÀN </t>
  </si>
  <si>
    <t>Tốc độ tăng thu NSNN trên địa bàn (%)</t>
  </si>
  <si>
    <t>Tỷ lệ thu NSNN so với GRDP (%)</t>
  </si>
  <si>
    <t>Tỷ lệ thu từ thuế, phí so với GRDP (%)</t>
  </si>
  <si>
    <t>Thu nội địa</t>
  </si>
  <si>
    <t>Tốc độ tăng thu (%)</t>
  </si>
  <si>
    <t>Tỷ trọng trong tổng thu NSNN trên địa bàn (%)</t>
  </si>
  <si>
    <t>Trong đó: Thu tiền sử dụng đất</t>
  </si>
  <si>
    <t xml:space="preserve">                Thu xổ số kiến thiết</t>
  </si>
  <si>
    <t>II</t>
  </si>
  <si>
    <t>Thu từ dầu thô (nếu có)</t>
  </si>
  <si>
    <t>III</t>
  </si>
  <si>
    <t xml:space="preserve">Thu từ hoạt động xuất, nhập khẩu (nếu có) </t>
  </si>
  <si>
    <t>IV</t>
  </si>
  <si>
    <t>C</t>
  </si>
  <si>
    <t xml:space="preserve">TỔNG THU NSĐP </t>
  </si>
  <si>
    <t>Tốc độ tăng thu NSĐP (%)</t>
  </si>
  <si>
    <t>Tỷ lệ thu NSĐP so với GRDP (%)</t>
  </si>
  <si>
    <t>I</t>
  </si>
  <si>
    <t>Thu NSĐP được hưởng theo phân cấp</t>
  </si>
  <si>
    <t>Tốc độ tăng (%)</t>
  </si>
  <si>
    <t>Tỷ trọng trong tổng thu NSĐP (%)</t>
  </si>
  <si>
    <t xml:space="preserve">Thu bổ sung từ ngân sách cấp trên </t>
  </si>
  <si>
    <t xml:space="preserve">Thu bổ sung cân đối ngân sách </t>
  </si>
  <si>
    <t xml:space="preserve">- </t>
  </si>
  <si>
    <t>Thu bổ sung có mục tiêu</t>
  </si>
  <si>
    <t>D</t>
  </si>
  <si>
    <t>TỔNG CHI NSĐP</t>
  </si>
  <si>
    <t>Tỷ lệ chi NSĐP so với GRDP (%)</t>
  </si>
  <si>
    <t>Chi đầu tư phát triển (1)</t>
  </si>
  <si>
    <t>Tỷ trọng trong tổng chi NSĐP (%)</t>
  </si>
  <si>
    <t>Chi thường xuyên</t>
  </si>
  <si>
    <t>Chi trả nợ lãi các khoản do chính quyền địa phương vay</t>
  </si>
  <si>
    <t>Chi tạo nguồn, điều chỉnh tiền lương</t>
  </si>
  <si>
    <t>BỘI CHI/BỘI THU NSĐP</t>
  </si>
  <si>
    <t>G</t>
  </si>
  <si>
    <t>TỔNG MỨC VAY, TRẢ NỢ CỦA NSĐP</t>
  </si>
  <si>
    <t>Hạn mức dư nợ vay tối đa của NSĐP</t>
  </si>
  <si>
    <t>Mức dư nợ đầu kỳ (năm)</t>
  </si>
  <si>
    <t>Tỷ lệ mức dư nợ đầu kỳ (năm) so với mức dư nợ vay tối đa của NSĐP (%)</t>
  </si>
  <si>
    <t>Tỷ lệ mức dư nợ đầu kỳ (năm) so với GRDP (%)</t>
  </si>
  <si>
    <t>Trả nợ gốc vay trong kỳ (năm)</t>
  </si>
  <si>
    <t>Từ nguồn vay để trả nợ gốc</t>
  </si>
  <si>
    <t>Tổng mức vay trong kỳ (năm)</t>
  </si>
  <si>
    <t>Vay để bù đắp bội chi</t>
  </si>
  <si>
    <t>Vay để trả nợ gốc</t>
  </si>
  <si>
    <t>V</t>
  </si>
  <si>
    <t>Mức dư nợ cuối kỳ (năm)</t>
  </si>
  <si>
    <t>Tỷ lệ mức dư nợ cuối kỳ (năm) so với mức dư nợ vay tối đa của NSĐP (%)</t>
  </si>
  <si>
    <t>Tỷ lệ mức dư nợ cuối kỳ (năm) so với GRDP (%)</t>
  </si>
  <si>
    <t>Năm 2017</t>
  </si>
  <si>
    <t>Năm 2018</t>
  </si>
  <si>
    <t>Năm 2019</t>
  </si>
  <si>
    <t>Năm 2020</t>
  </si>
  <si>
    <t>DỰ BÁO MỘT SỐ CHỈ TIÊU KINH TẾ - XÃ HỘI CHỦ YẾU GIAI ĐOẠN 2021 - 2025</t>
  </si>
  <si>
    <t>Kế hoạch giai đoạn 2021 - 2025</t>
  </si>
  <si>
    <t>KẾ HOẠCH TÀI CHÍNH - NGÂN SÁCH GIAI ĐOẠN 05 NĂM 2021 - 2025</t>
  </si>
  <si>
    <t>Mục tiêu giai đoạn 2016 - 2020</t>
  </si>
  <si>
    <t>Năm 2016</t>
  </si>
  <si>
    <t>Thực hiện giai đoạn 2016 - 2020</t>
  </si>
  <si>
    <t>Kế hoạch giai đoạn  2016 - 2020</t>
  </si>
  <si>
    <t>Tổng sản phẩm trên địa bàn (GRDP) theo giá hiện hành</t>
  </si>
  <si>
    <t>Vốn đầu tư thực hiện trên địa bàn</t>
  </si>
  <si>
    <t>Vốn nhà nước trên địa bàn</t>
  </si>
  <si>
    <t>Vốn ngoài nhà nước</t>
  </si>
  <si>
    <t>Dân số trung bình</t>
  </si>
  <si>
    <t>TỔNG SẢN PHẨM TRÊN ĐỊA BÀN (GRDP) THEO GIÁ HIỆN HÀNH</t>
  </si>
  <si>
    <t>&gt; 9</t>
  </si>
  <si>
    <t>Năm 2015</t>
  </si>
  <si>
    <t>19-20</t>
  </si>
  <si>
    <t>3-4</t>
  </si>
  <si>
    <t>Đến năm 2020 đạt 150 triệu USD</t>
  </si>
  <si>
    <t>18-19</t>
  </si>
  <si>
    <t>10-12</t>
  </si>
  <si>
    <t>Tốc độ tăng chi NSĐP (%)</t>
  </si>
  <si>
    <t>Trong đó: chi từ nguồn chuyển nguồn năm trước</t>
  </si>
  <si>
    <t xml:space="preserve"> KẾ HOẠCH THU- CHI NGÂN SÁCH GIAI ĐOẠN 2021-2025</t>
  </si>
  <si>
    <r>
      <t xml:space="preserve">ĐVT: Tỷ đồng </t>
    </r>
    <r>
      <rPr>
        <b/>
        <sz val="12"/>
        <color indexed="36"/>
        <rFont val="Times New Roman"/>
        <family val="1"/>
      </rPr>
      <t/>
    </r>
  </si>
  <si>
    <t>Tốc độ tăng bình quân 2016-2020</t>
  </si>
  <si>
    <t xml:space="preserve">Năm 2020 </t>
  </si>
  <si>
    <t>Năm 2021</t>
  </si>
  <si>
    <t>Năm 2022</t>
  </si>
  <si>
    <t>Năm 2023</t>
  </si>
  <si>
    <t>Năm 2024</t>
  </si>
  <si>
    <t>Năm 2025</t>
  </si>
  <si>
    <t>Tổng giai đoạn 2021-2025</t>
  </si>
  <si>
    <t>Tốc độ tăng bình quân 2021-2025</t>
  </si>
  <si>
    <t>Kế hoạch</t>
  </si>
  <si>
    <t>% so năm trước</t>
  </si>
  <si>
    <t>13=3+5+7+9+11</t>
  </si>
  <si>
    <t>THU NSNN TRÊN ĐỊA BÀN</t>
  </si>
  <si>
    <t>Thu nội địa trừ tiền sử dụng đất</t>
  </si>
  <si>
    <t>Tỷ trọng thu nội địa trên tổng thu NSNN</t>
  </si>
  <si>
    <t>1</t>
  </si>
  <si>
    <t>Thu từ DN nhà nước trung ương quản lý</t>
  </si>
  <si>
    <t>Trong đó: Thu từ các nhà máy thủy điện</t>
  </si>
  <si>
    <t>2</t>
  </si>
  <si>
    <t>Thu từ DN nhà nước địa phương quản lý</t>
  </si>
  <si>
    <t>3</t>
  </si>
  <si>
    <t>Thu từ KV DN có vốn đầu tư nước ngoài</t>
  </si>
  <si>
    <t>4</t>
  </si>
  <si>
    <t>Thu từ khu vực kinh tế ngoài quốc doanh</t>
  </si>
  <si>
    <t>5</t>
  </si>
  <si>
    <t>Thu từ hoạt động xổ số kiến thíêt</t>
  </si>
  <si>
    <t>6</t>
  </si>
  <si>
    <t>Tiền sử dụng đất</t>
  </si>
  <si>
    <t>7</t>
  </si>
  <si>
    <t>Các khoản thuế khác</t>
  </si>
  <si>
    <t>Thu cân đối từ hoạt động xuất nhập khẩu</t>
  </si>
  <si>
    <t>THU NGÂN SÁCH ĐỊA PHƯƠNG</t>
  </si>
  <si>
    <t>Thu bổ sung từ ngân sách trung ương</t>
  </si>
  <si>
    <t xml:space="preserve"> - TW bổ sung mục tiêu (CTMTQG, CTMT)</t>
  </si>
  <si>
    <t xml:space="preserve"> Trđó: Bổ sung thêm thực hiện các CS, chế độ</t>
  </si>
  <si>
    <t xml:space="preserve"> - TW bổ sung cân đối NSĐP</t>
  </si>
  <si>
    <t>Trđó: + BS tiền lương và tăng thêm trợ cấptheo Luật NSNN</t>
  </si>
  <si>
    <t xml:space="preserve"> + Bổ sung CS, chế độ tính vào cân đối 2021</t>
  </si>
  <si>
    <t>CHI NGÂN SÁCH ĐỊA PHƯƠNG</t>
  </si>
  <si>
    <t>Chi cân đối NSĐP</t>
  </si>
  <si>
    <t xml:space="preserve">Chi đầu tư phát triển </t>
  </si>
  <si>
    <t xml:space="preserve">Chi thường xuyên </t>
  </si>
  <si>
    <t>Bội chi NSĐP</t>
  </si>
  <si>
    <t>Khiêm nên cho anh em tinh sơ bộ với tốc độ tăng thu NSĐP được hưởng và cộng tiền lương tăng thêm thì tỷ lệ tăng chi qua các năm khoảng…% để ai hỏi thì mình có cơ sở đưa ra 5 %hoặc bảo nhiêu đó nhé (XD KH hoặc chính sách nên có lập luận, cơ sở tính toán vứng chắc)</t>
  </si>
  <si>
    <t>Chi từ nguồn trung ương bổ sung mục tiêu</t>
  </si>
  <si>
    <t>Chi đầu tư phát triển</t>
  </si>
  <si>
    <t>Chi chương trình mục tiêu quốc gia</t>
  </si>
  <si>
    <t>Chi hỗ trợ vốn sự nghiệp thực hiện các chính sách, chế độ theo qui định và một số CTMT</t>
  </si>
  <si>
    <t>Kế hoạch giai đoạn 2021 - 2025 (cập nhật lại)</t>
  </si>
  <si>
    <t>43-44</t>
  </si>
  <si>
    <t>Biểu này phân tích để làm cơ sở lập 2 biểu KH TC 5 năm theo mẫu qui định</t>
  </si>
  <si>
    <t>&gt;10</t>
  </si>
  <si>
    <t>42-43</t>
  </si>
  <si>
    <t>Mục tiêu Đến năm 2025 đạt 8,0 triệu USD</t>
  </si>
  <si>
    <t>Mục tiêu Đến năm 2025 đạt  trên 70 triệu đồng</t>
  </si>
  <si>
    <t>&gt;30</t>
  </si>
  <si>
    <t>Mục tiêu Đến năm 2025 đạt  trên 60%</t>
  </si>
  <si>
    <t>(Ban hành kèm theo Nghị quyết số      /2020/NQ-HĐND ngày     tháng      năm 2020 của Hội đồng nhân dân tỉnh Kon Tum)</t>
  </si>
  <si>
    <t>Biểu mẫu số 03</t>
  </si>
  <si>
    <t>Mục tiêu Đến năm 2025 đạt 250 triệu USD</t>
  </si>
  <si>
    <t>UTH năm 2020</t>
  </si>
  <si>
    <t>Bội thu NSĐP để tạo nguồn chi trả nợ gốc</t>
  </si>
  <si>
    <t xml:space="preserve">                 (2) Kế hoạch chi ngân sách giai đoạn 2021-2025 chưa bao gồm chương trình mục tiêu quốc gia (theo hướng dẫn của TW)</t>
  </si>
  <si>
    <t xml:space="preserve">       (3)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</si>
  <si>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E</t>
  </si>
  <si>
    <t>GRDP bình quân đầu người</t>
  </si>
  <si>
    <t>Mục tiêu Đến năm 2025 đạt  70,6%</t>
  </si>
  <si>
    <t>………….</t>
  </si>
  <si>
    <t>Ghi chú: Cột 9 không chi tiết từng năm</t>
  </si>
  <si>
    <t xml:space="preserve">Thu viện trợ, các khoản huy động đóng góp </t>
  </si>
  <si>
    <t xml:space="preserve">Chi từ nguồn viện trợ; các khoản huy động đóng góp </t>
  </si>
  <si>
    <t>Từ nguồn bội thu NSĐP; tăng thu, tiết kiệm chi; kết dư ngân sách cấp tỉnh</t>
  </si>
  <si>
    <r>
      <t xml:space="preserve">Ghi chú: </t>
    </r>
    <r>
      <rPr>
        <i/>
        <sz val="13"/>
        <rFont val="Times New Roman"/>
        <family val="1"/>
      </rPr>
      <t>(1) Tổng ngân sách năm 2020 là số ước thực hiện theo dự toán (không bao gồm chuyển nguồn năm trước sang và chi chuyển nguồn sang năm sau)</t>
    </r>
  </si>
  <si>
    <t xml:space="preserve">      (4) Giai đoạn 2016-2020, địa phương xây dựng Kế hoạch vay, trả nợ công từng năm. Trả nợ gốc giai đoạn 2016-2020, chủ yếu trả gốc vay tín dụng đầu tư Chương trình Kiên cố hóa kênh mương</t>
  </si>
  <si>
    <t>32-33</t>
  </si>
  <si>
    <t>Đến năm 2025 là 3,34%</t>
  </si>
  <si>
    <t>Mục tiêu Đến năm 2025 đạt 60 xã</t>
  </si>
  <si>
    <t>Biểu số 02</t>
  </si>
  <si>
    <t>Biểu số 01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</si>
</sst>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3" formatCode="_(* #,##0.00_);_(* \(#,##0.00\);_(* &quot;-&quot;??_);_(@_)"/>
    <numFmt numFmtId="164" formatCode="_(* #,##0.00_);_(* \(#,##0.00\);_(* &quot;-&quot;_);_(@_)"/>
    <numFmt numFmtId="165" formatCode="_(* #,##0.000_);_(* \(#,##0.000\);_(* &quot;-&quot;_);_(@_)"/>
    <numFmt numFmtId="166" formatCode="0.0%"/>
    <numFmt numFmtId="167" formatCode="_(* #,##0.0_);_(* \(#,##0.0\);_(* &quot;-&quot;_);_(@_)"/>
    <numFmt numFmtId="168" formatCode="#,##0.00;[Red]#,##0.00"/>
    <numFmt numFmtId="169" formatCode="#,##0.000"/>
    <numFmt numFmtId="170" formatCode="#,##0.0"/>
    <numFmt numFmtId="171" formatCode="_(* #,##0.0_);_(* \(#,##0.0\);_(* &quot;-&quot;??_);_(@_)"/>
    <numFmt numFmtId="172" formatCode="_(* #,##0.0_);_(* \(#,##0.0\);_(* &quot;-&quot;?_);_(@_)"/>
    <numFmt numFmtId="173" formatCode="#,##0.000;[Red]#,##0.000"/>
    <numFmt numFmtId="174" formatCode="_(* #,##0_);_(* \(#,##0\);_(* &quot;-&quot;??_);_(@_)"/>
    <numFmt numFmtId="175" formatCode="_(* #,##0.00_);_(* \(#,##0.00\);_(* \-??_);_(@_)"/>
    <numFmt numFmtId="176" formatCode="_(* #,##0_);_(* \(#,##0\);_(* \-??_);_(@_)"/>
    <numFmt numFmtId="177" formatCode="#,##0;[Red]#,##0"/>
  </numFmts>
  <fonts count="34" x14ac:knownFonts="1">
    <font>
      <sz val="11"/>
      <color theme="1"/>
      <name val="Calibri"/>
      <family val="2"/>
      <scheme val="minor"/>
    </font>
    <font>
      <sz val="11"/>
      <color theme="1"/>
      <name val="Calibri"/>
      <family val="2"/>
      <scheme val="minor"/>
    </font>
    <font>
      <sz val="10"/>
      <name val=".VnArial"/>
      <family val="2"/>
    </font>
    <font>
      <sz val="13"/>
      <name val="Times New Roman"/>
      <family val="1"/>
    </font>
    <font>
      <i/>
      <sz val="13"/>
      <name val="Times New Roman"/>
      <family val="1"/>
    </font>
    <font>
      <b/>
      <sz val="13"/>
      <name val="Times New Roman"/>
      <family val="1"/>
    </font>
    <font>
      <b/>
      <sz val="15"/>
      <name val="Times New Roman"/>
      <family val="1"/>
    </font>
    <font>
      <sz val="15"/>
      <name val="Times New Roman"/>
      <family val="1"/>
    </font>
    <font>
      <sz val="11"/>
      <name val="Calibri"/>
      <family val="2"/>
      <scheme val="minor"/>
    </font>
    <font>
      <b/>
      <sz val="11"/>
      <name val="Calibri"/>
      <family val="2"/>
      <scheme val="minor"/>
    </font>
    <font>
      <i/>
      <sz val="11"/>
      <name val="Calibri"/>
      <family val="2"/>
      <scheme val="minor"/>
    </font>
    <font>
      <b/>
      <sz val="16"/>
      <name val="Times New Roman"/>
      <family val="1"/>
    </font>
    <font>
      <sz val="12"/>
      <name val="Times New Roman"/>
      <family val="1"/>
    </font>
    <font>
      <b/>
      <sz val="14"/>
      <color rgb="FF0070C0"/>
      <name val="Times New Roman"/>
      <family val="1"/>
    </font>
    <font>
      <b/>
      <sz val="12"/>
      <name val="Times New Roman"/>
      <family val="1"/>
    </font>
    <font>
      <b/>
      <sz val="12"/>
      <color indexed="36"/>
      <name val="Times New Roman"/>
      <family val="1"/>
    </font>
    <font>
      <sz val="10"/>
      <name val="Times New Roman"/>
      <family val="1"/>
    </font>
    <font>
      <b/>
      <i/>
      <sz val="12"/>
      <name val="Times New Roman"/>
      <family val="1"/>
    </font>
    <font>
      <b/>
      <sz val="12"/>
      <color rgb="FF7030A0"/>
      <name val="Times New Roman"/>
      <family val="1"/>
    </font>
    <font>
      <sz val="12"/>
      <color rgb="FF0070C0"/>
      <name val="Times New Roman"/>
      <family val="1"/>
    </font>
    <font>
      <b/>
      <sz val="12"/>
      <color rgb="FFFF0000"/>
      <name val="Times New Roman"/>
      <family val="1"/>
    </font>
    <font>
      <i/>
      <sz val="12"/>
      <name val="Times New Roman"/>
      <family val="1"/>
    </font>
    <font>
      <sz val="10"/>
      <name val="Arial"/>
      <family val="2"/>
    </font>
    <font>
      <sz val="12"/>
      <color theme="1"/>
      <name val="Times New Roman"/>
      <family val="1"/>
    </font>
    <font>
      <i/>
      <sz val="12"/>
      <color theme="1"/>
      <name val="Times New Roman"/>
      <family val="1"/>
    </font>
    <font>
      <b/>
      <sz val="12"/>
      <color theme="1"/>
      <name val="Times New Roman"/>
      <family val="1"/>
    </font>
    <font>
      <i/>
      <sz val="12"/>
      <color rgb="FF7030A0"/>
      <name val="Times New Roman"/>
      <family val="1"/>
    </font>
    <font>
      <sz val="12"/>
      <color rgb="FF7030A0"/>
      <name val="Times New Roman"/>
      <family val="1"/>
    </font>
    <font>
      <i/>
      <sz val="12"/>
      <color rgb="FFFF0000"/>
      <name val="Times New Roman"/>
      <family val="1"/>
    </font>
    <font>
      <sz val="14"/>
      <name val="Times New Roman"/>
      <family val="1"/>
    </font>
    <font>
      <sz val="13"/>
      <name val="Times New Roman"/>
      <family val="1"/>
      <charset val="163"/>
    </font>
    <font>
      <sz val="11"/>
      <name val="Calibri"/>
      <family val="2"/>
      <charset val="163"/>
      <scheme val="minor"/>
    </font>
    <font>
      <b/>
      <i/>
      <sz val="13"/>
      <name val="Times New Roman"/>
      <family val="1"/>
    </font>
    <font>
      <sz val="13"/>
      <color theme="0"/>
      <name val="Times New Roman"/>
      <family val="1"/>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175" fontId="22" fillId="0" borderId="0" applyFill="0" applyBorder="0" applyAlignment="0" applyProtection="0"/>
    <xf numFmtId="0" fontId="1" fillId="0" borderId="0"/>
    <xf numFmtId="43" fontId="22" fillId="0" borderId="0" applyFont="0" applyFill="0" applyBorder="0" applyAlignment="0" applyProtection="0"/>
    <xf numFmtId="43" fontId="22" fillId="0" borderId="0" applyFont="0" applyFill="0" applyBorder="0" applyAlignment="0" applyProtection="0"/>
    <xf numFmtId="0" fontId="22" fillId="0" borderId="0"/>
  </cellStyleXfs>
  <cellXfs count="270">
    <xf numFmtId="0" fontId="0" fillId="0" borderId="0" xfId="0"/>
    <xf numFmtId="171" fontId="10" fillId="0" borderId="0" xfId="2" applyNumberFormat="1" applyFont="1" applyFill="1"/>
    <xf numFmtId="0" fontId="12" fillId="0" borderId="0" xfId="0" applyFont="1" applyFill="1" applyBorder="1"/>
    <xf numFmtId="0" fontId="12" fillId="0" borderId="0" xfId="0" applyFont="1" applyFill="1" applyBorder="1" applyAlignment="1">
      <alignment horizontal="center"/>
    </xf>
    <xf numFmtId="0" fontId="14" fillId="0" borderId="7" xfId="0" applyFont="1" applyFill="1" applyBorder="1" applyAlignment="1">
      <alignment horizontal="center"/>
    </xf>
    <xf numFmtId="0" fontId="14" fillId="0" borderId="0" xfId="0" applyFont="1" applyFill="1" applyBorder="1" applyAlignment="1">
      <alignment horizontal="center"/>
    </xf>
    <xf numFmtId="174" fontId="12" fillId="0" borderId="0" xfId="2" applyNumberFormat="1" applyFont="1" applyFill="1" applyBorder="1"/>
    <xf numFmtId="0" fontId="12" fillId="0" borderId="0" xfId="0" applyFont="1" applyFill="1"/>
    <xf numFmtId="0" fontId="12" fillId="0" borderId="11" xfId="0" applyFont="1" applyFill="1" applyBorder="1" applyAlignment="1">
      <alignment horizontal="center" vertical="center" wrapText="1"/>
    </xf>
    <xf numFmtId="174" fontId="12" fillId="0" borderId="11" xfId="2"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0" fontId="16" fillId="0" borderId="8" xfId="0" quotePrefix="1" applyFont="1" applyFill="1" applyBorder="1" applyAlignment="1">
      <alignment horizontal="center" vertical="center" wrapText="1"/>
    </xf>
    <xf numFmtId="0" fontId="12" fillId="0" borderId="8" xfId="0" applyFont="1" applyFill="1" applyBorder="1" applyAlignment="1">
      <alignment horizontal="center" vertical="center"/>
    </xf>
    <xf numFmtId="0" fontId="14" fillId="0" borderId="5" xfId="0" applyFont="1" applyFill="1" applyBorder="1" applyAlignment="1">
      <alignment horizontal="center"/>
    </xf>
    <xf numFmtId="0" fontId="14" fillId="0" borderId="5" xfId="0" applyFont="1" applyFill="1" applyBorder="1"/>
    <xf numFmtId="166" fontId="14" fillId="0" borderId="5" xfId="1" applyNumberFormat="1" applyFont="1" applyFill="1" applyBorder="1"/>
    <xf numFmtId="174" fontId="14" fillId="0" borderId="5" xfId="2" applyNumberFormat="1" applyFont="1" applyFill="1" applyBorder="1"/>
    <xf numFmtId="166" fontId="17" fillId="0" borderId="3" xfId="1" applyNumberFormat="1" applyFont="1" applyFill="1" applyBorder="1"/>
    <xf numFmtId="166" fontId="14" fillId="0" borderId="3" xfId="1" applyNumberFormat="1" applyFont="1" applyFill="1" applyBorder="1"/>
    <xf numFmtId="174" fontId="14" fillId="0" borderId="13" xfId="2" applyNumberFormat="1" applyFont="1" applyFill="1" applyBorder="1"/>
    <xf numFmtId="166" fontId="14" fillId="0" borderId="13" xfId="1" applyNumberFormat="1" applyFont="1" applyFill="1" applyBorder="1"/>
    <xf numFmtId="0" fontId="14" fillId="0" borderId="0" xfId="0" applyFont="1" applyFill="1"/>
    <xf numFmtId="0" fontId="14" fillId="0" borderId="3" xfId="0" applyFont="1" applyFill="1" applyBorder="1" applyAlignment="1">
      <alignment horizontal="center"/>
    </xf>
    <xf numFmtId="0" fontId="14" fillId="0" borderId="3" xfId="0" applyFont="1" applyFill="1" applyBorder="1"/>
    <xf numFmtId="174" fontId="14" fillId="0" borderId="3" xfId="2" applyNumberFormat="1" applyFont="1" applyFill="1" applyBorder="1"/>
    <xf numFmtId="0" fontId="20" fillId="2" borderId="0" xfId="0" applyFont="1" applyFill="1"/>
    <xf numFmtId="0" fontId="14" fillId="2" borderId="0" xfId="0" applyFont="1" applyFill="1"/>
    <xf numFmtId="0" fontId="21" fillId="0" borderId="3" xfId="0" applyFont="1" applyFill="1" applyBorder="1" applyAlignment="1">
      <alignment horizontal="center"/>
    </xf>
    <xf numFmtId="0" fontId="21" fillId="0" borderId="15" xfId="0" applyFont="1" applyFill="1" applyBorder="1"/>
    <xf numFmtId="166" fontId="21" fillId="0" borderId="13" xfId="1" applyNumberFormat="1" applyFont="1" applyFill="1" applyBorder="1"/>
    <xf numFmtId="174" fontId="21" fillId="0" borderId="3" xfId="2" applyNumberFormat="1" applyFont="1" applyFill="1" applyBorder="1"/>
    <xf numFmtId="166" fontId="21" fillId="0" borderId="3" xfId="1" applyNumberFormat="1" applyFont="1" applyFill="1" applyBorder="1"/>
    <xf numFmtId="174" fontId="12" fillId="0" borderId="13" xfId="2" applyNumberFormat="1" applyFont="1" applyFill="1" applyBorder="1"/>
    <xf numFmtId="0" fontId="21" fillId="0" borderId="0" xfId="0" applyFont="1" applyFill="1"/>
    <xf numFmtId="0" fontId="21" fillId="0" borderId="3" xfId="0" applyFont="1" applyFill="1" applyBorder="1"/>
    <xf numFmtId="171" fontId="21" fillId="0" borderId="3" xfId="2" applyNumberFormat="1" applyFont="1" applyFill="1" applyBorder="1"/>
    <xf numFmtId="49" fontId="23" fillId="0" borderId="3" xfId="4" quotePrefix="1" applyNumberFormat="1" applyFont="1" applyFill="1" applyBorder="1" applyAlignment="1">
      <alignment horizontal="center" vertical="center" wrapText="1"/>
    </xf>
    <xf numFmtId="176" fontId="23" fillId="0" borderId="3" xfId="4" applyNumberFormat="1" applyFont="1" applyFill="1" applyBorder="1" applyAlignment="1">
      <alignment vertical="center" wrapText="1"/>
    </xf>
    <xf numFmtId="166" fontId="12" fillId="0" borderId="3" xfId="1" applyNumberFormat="1" applyFont="1" applyFill="1" applyBorder="1" applyAlignment="1">
      <alignment vertical="center" wrapText="1"/>
    </xf>
    <xf numFmtId="174" fontId="12" fillId="0" borderId="3" xfId="2" applyNumberFormat="1" applyFont="1" applyFill="1" applyBorder="1"/>
    <xf numFmtId="166" fontId="12" fillId="0" borderId="3" xfId="1" applyNumberFormat="1" applyFont="1" applyFill="1" applyBorder="1"/>
    <xf numFmtId="166" fontId="12" fillId="0" borderId="13" xfId="1" applyNumberFormat="1" applyFont="1" applyFill="1" applyBorder="1"/>
    <xf numFmtId="49" fontId="24" fillId="0" borderId="3" xfId="4" quotePrefix="1" applyNumberFormat="1" applyFont="1" applyFill="1" applyBorder="1" applyAlignment="1">
      <alignment horizontal="center" vertical="center" wrapText="1"/>
    </xf>
    <xf numFmtId="0" fontId="24" fillId="0" borderId="0" xfId="5" applyFont="1" applyFill="1" applyBorder="1"/>
    <xf numFmtId="166" fontId="21" fillId="0" borderId="0" xfId="1" applyNumberFormat="1" applyFont="1" applyFill="1" applyBorder="1"/>
    <xf numFmtId="176" fontId="23" fillId="0" borderId="3" xfId="4" applyNumberFormat="1" applyFont="1" applyFill="1" applyBorder="1" applyAlignment="1">
      <alignment horizontal="left" vertical="center" wrapText="1"/>
    </xf>
    <xf numFmtId="166" fontId="12" fillId="0" borderId="3" xfId="1" applyNumberFormat="1" applyFont="1" applyFill="1" applyBorder="1" applyAlignment="1">
      <alignment horizontal="left" vertical="center" wrapText="1"/>
    </xf>
    <xf numFmtId="49" fontId="25" fillId="0" borderId="3" xfId="4" applyNumberFormat="1" applyFont="1" applyFill="1" applyBorder="1" applyAlignment="1">
      <alignment horizontal="center" vertical="center" wrapText="1"/>
    </xf>
    <xf numFmtId="174" fontId="25" fillId="0" borderId="3" xfId="6" applyNumberFormat="1" applyFont="1" applyFill="1" applyBorder="1" applyAlignment="1">
      <alignment horizontal="left" vertical="center" wrapText="1"/>
    </xf>
    <xf numFmtId="166" fontId="14" fillId="0" borderId="3" xfId="1" applyNumberFormat="1" applyFont="1" applyFill="1" applyBorder="1" applyAlignment="1">
      <alignment horizontal="center" vertical="center" wrapText="1"/>
    </xf>
    <xf numFmtId="0" fontId="17" fillId="0" borderId="0" xfId="0" applyFont="1" applyFill="1"/>
    <xf numFmtId="166" fontId="14" fillId="0" borderId="12" xfId="1" applyNumberFormat="1" applyFont="1" applyFill="1" applyBorder="1" applyAlignment="1">
      <alignment horizontal="center" vertical="center" wrapText="1"/>
    </xf>
    <xf numFmtId="174" fontId="14" fillId="0" borderId="12" xfId="2" applyNumberFormat="1" applyFont="1" applyFill="1" applyBorder="1"/>
    <xf numFmtId="49" fontId="23" fillId="0" borderId="3" xfId="4" applyNumberFormat="1" applyFont="1" applyFill="1" applyBorder="1" applyAlignment="1">
      <alignment horizontal="center" vertical="center" wrapText="1"/>
    </xf>
    <xf numFmtId="174" fontId="23" fillId="0" borderId="3" xfId="6" applyNumberFormat="1" applyFont="1" applyFill="1" applyBorder="1" applyAlignment="1">
      <alignment horizontal="left" vertical="center" wrapText="1"/>
    </xf>
    <xf numFmtId="166" fontId="12" fillId="0" borderId="12" xfId="1" applyNumberFormat="1" applyFont="1" applyFill="1" applyBorder="1" applyAlignment="1">
      <alignment horizontal="center" vertical="center" wrapText="1"/>
    </xf>
    <xf numFmtId="174" fontId="12" fillId="0" borderId="12" xfId="2" applyNumberFormat="1" applyFont="1" applyFill="1" applyBorder="1"/>
    <xf numFmtId="49" fontId="24" fillId="0" borderId="3" xfId="4" applyNumberFormat="1" applyFont="1" applyFill="1" applyBorder="1" applyAlignment="1">
      <alignment horizontal="center" vertical="center" wrapText="1"/>
    </xf>
    <xf numFmtId="174" fontId="24" fillId="0" borderId="3" xfId="6" applyNumberFormat="1" applyFont="1" applyFill="1" applyBorder="1" applyAlignment="1">
      <alignment horizontal="left" vertical="center" wrapText="1"/>
    </xf>
    <xf numFmtId="166" fontId="21" fillId="0" borderId="12" xfId="1" applyNumberFormat="1" applyFont="1" applyFill="1" applyBorder="1" applyAlignment="1">
      <alignment horizontal="center" vertical="center" wrapText="1"/>
    </xf>
    <xf numFmtId="174" fontId="21" fillId="0" borderId="12" xfId="2" applyNumberFormat="1" applyFont="1" applyFill="1" applyBorder="1"/>
    <xf numFmtId="174" fontId="21" fillId="0" borderId="13" xfId="2" applyNumberFormat="1" applyFont="1" applyFill="1" applyBorder="1"/>
    <xf numFmtId="0" fontId="14" fillId="0" borderId="3" xfId="0" applyFont="1" applyFill="1" applyBorder="1" applyAlignment="1">
      <alignment horizontal="left"/>
    </xf>
    <xf numFmtId="0" fontId="14" fillId="0" borderId="12" xfId="0" applyFont="1" applyFill="1" applyBorder="1" applyAlignment="1">
      <alignment horizontal="left"/>
    </xf>
    <xf numFmtId="0" fontId="12" fillId="0" borderId="3" xfId="0" applyFont="1" applyFill="1" applyBorder="1" applyAlignment="1">
      <alignment horizontal="center"/>
    </xf>
    <xf numFmtId="0" fontId="12" fillId="0" borderId="3" xfId="0" applyFont="1" applyFill="1" applyBorder="1"/>
    <xf numFmtId="0" fontId="12" fillId="0" borderId="12" xfId="0" applyFont="1" applyFill="1" applyBorder="1"/>
    <xf numFmtId="9" fontId="12" fillId="0" borderId="3" xfId="1" applyNumberFormat="1" applyFont="1" applyFill="1" applyBorder="1"/>
    <xf numFmtId="0" fontId="12" fillId="0" borderId="12" xfId="0" applyFont="1" applyFill="1" applyBorder="1" applyAlignment="1">
      <alignment horizontal="center"/>
    </xf>
    <xf numFmtId="9" fontId="12" fillId="0" borderId="12" xfId="1" applyNumberFormat="1" applyFont="1" applyFill="1" applyBorder="1"/>
    <xf numFmtId="166" fontId="12" fillId="0" borderId="12" xfId="1" applyNumberFormat="1" applyFont="1" applyFill="1" applyBorder="1"/>
    <xf numFmtId="0" fontId="28" fillId="2" borderId="0" xfId="0" applyFont="1" applyFill="1"/>
    <xf numFmtId="0" fontId="21" fillId="2" borderId="0" xfId="0" applyFont="1" applyFill="1"/>
    <xf numFmtId="0" fontId="14" fillId="0" borderId="12" xfId="0" applyFont="1" applyFill="1" applyBorder="1" applyAlignment="1">
      <alignment horizontal="center"/>
    </xf>
    <xf numFmtId="0" fontId="14" fillId="0" borderId="12" xfId="0" applyFont="1" applyFill="1" applyBorder="1"/>
    <xf numFmtId="0" fontId="14" fillId="0" borderId="13" xfId="0" applyFont="1" applyFill="1" applyBorder="1"/>
    <xf numFmtId="171" fontId="12" fillId="0" borderId="12" xfId="2" applyNumberFormat="1" applyFont="1" applyFill="1" applyBorder="1"/>
    <xf numFmtId="0" fontId="12" fillId="0" borderId="13" xfId="0" applyFont="1" applyFill="1" applyBorder="1"/>
    <xf numFmtId="0" fontId="12" fillId="0" borderId="12" xfId="0" applyFont="1" applyFill="1" applyBorder="1" applyAlignment="1">
      <alignment horizontal="center" vertical="center"/>
    </xf>
    <xf numFmtId="0" fontId="12" fillId="0" borderId="12" xfId="0" applyFont="1" applyFill="1" applyBorder="1" applyAlignment="1">
      <alignment wrapText="1" shrinkToFit="1"/>
    </xf>
    <xf numFmtId="0" fontId="12" fillId="0" borderId="4" xfId="0" applyFont="1" applyFill="1" applyBorder="1" applyAlignment="1">
      <alignment horizontal="center"/>
    </xf>
    <xf numFmtId="0" fontId="12" fillId="0" borderId="4" xfId="0" applyFont="1" applyFill="1" applyBorder="1"/>
    <xf numFmtId="174" fontId="12" fillId="0" borderId="4" xfId="2" applyNumberFormat="1" applyFont="1" applyFill="1" applyBorder="1"/>
    <xf numFmtId="174" fontId="12" fillId="0" borderId="11" xfId="2" applyNumberFormat="1" applyFont="1" applyFill="1" applyBorder="1"/>
    <xf numFmtId="0" fontId="12" fillId="0" borderId="11" xfId="0" applyFont="1" applyFill="1" applyBorder="1"/>
    <xf numFmtId="0" fontId="12" fillId="0" borderId="0" xfId="0" applyFont="1" applyFill="1" applyAlignment="1">
      <alignment horizontal="left"/>
    </xf>
    <xf numFmtId="174" fontId="12" fillId="0" borderId="0" xfId="2" applyNumberFormat="1" applyFont="1" applyFill="1"/>
    <xf numFmtId="0" fontId="12" fillId="0" borderId="0" xfId="0" applyFont="1" applyFill="1" applyBorder="1" applyAlignment="1">
      <alignment horizontal="left"/>
    </xf>
    <xf numFmtId="0" fontId="12" fillId="0" borderId="0" xfId="0" applyFont="1" applyFill="1" applyAlignment="1">
      <alignment horizontal="center"/>
    </xf>
    <xf numFmtId="0" fontId="12" fillId="0" borderId="0" xfId="0" applyFont="1" applyFill="1" applyAlignment="1">
      <alignment vertical="center" wrapText="1" shrinkToFit="1"/>
    </xf>
    <xf numFmtId="174" fontId="12" fillId="0" borderId="0" xfId="2" applyNumberFormat="1" applyFont="1" applyFill="1" applyAlignment="1">
      <alignment horizontal="left" vertical="center" wrapText="1"/>
    </xf>
    <xf numFmtId="174" fontId="18" fillId="0" borderId="0" xfId="0" applyNumberFormat="1" applyFont="1" applyFill="1"/>
    <xf numFmtId="0" fontId="26" fillId="0" borderId="0" xfId="0" applyFont="1" applyFill="1"/>
    <xf numFmtId="0" fontId="27" fillId="0" borderId="0" xfId="0" applyFont="1" applyFill="1"/>
    <xf numFmtId="0" fontId="12" fillId="0" borderId="0" xfId="0" applyFont="1" applyFill="1" applyAlignment="1">
      <alignment vertical="center" wrapText="1" shrinkToFit="1"/>
    </xf>
    <xf numFmtId="174" fontId="12" fillId="0" borderId="0" xfId="2" applyNumberFormat="1" applyFont="1" applyFill="1" applyAlignment="1">
      <alignment horizontal="left" vertical="center" wrapText="1"/>
    </xf>
    <xf numFmtId="174" fontId="12" fillId="0" borderId="1" xfId="2"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174" fontId="12" fillId="0" borderId="0" xfId="2" applyNumberFormat="1" applyFont="1" applyFill="1" applyBorder="1" applyAlignment="1">
      <alignment vertical="center"/>
    </xf>
    <xf numFmtId="0" fontId="12" fillId="0" borderId="0" xfId="0" applyFont="1" applyFill="1" applyAlignment="1">
      <alignment vertical="center"/>
    </xf>
    <xf numFmtId="0" fontId="14" fillId="0" borderId="0" xfId="0" applyFont="1" applyFill="1" applyAlignment="1">
      <alignment vertical="center"/>
    </xf>
    <xf numFmtId="0" fontId="21" fillId="0" borderId="0" xfId="0" applyFont="1" applyFill="1" applyAlignment="1">
      <alignment vertical="center"/>
    </xf>
    <xf numFmtId="0" fontId="17" fillId="0" borderId="0" xfId="0" applyFont="1" applyFill="1" applyAlignment="1">
      <alignment vertical="center"/>
    </xf>
    <xf numFmtId="0" fontId="12" fillId="0" borderId="0" xfId="0" applyFont="1" applyFill="1" applyAlignment="1">
      <alignment horizontal="left" vertical="center"/>
    </xf>
    <xf numFmtId="174" fontId="12" fillId="0" borderId="0" xfId="2" applyNumberFormat="1" applyFont="1" applyFill="1" applyAlignment="1">
      <alignment vertical="center"/>
    </xf>
    <xf numFmtId="0" fontId="12" fillId="0" borderId="0" xfId="0" applyFont="1" applyFill="1" applyBorder="1" applyAlignment="1">
      <alignment horizontal="left" vertical="center"/>
    </xf>
    <xf numFmtId="0" fontId="12" fillId="0" borderId="0" xfId="0" applyFont="1" applyFill="1" applyAlignment="1">
      <alignment horizontal="center" vertical="center"/>
    </xf>
    <xf numFmtId="174" fontId="14" fillId="0" borderId="0" xfId="0" applyNumberFormat="1" applyFont="1" applyFill="1" applyAlignment="1">
      <alignment vertical="center"/>
    </xf>
    <xf numFmtId="49" fontId="12" fillId="0" borderId="14" xfId="0" applyNumberFormat="1" applyFont="1" applyFill="1" applyBorder="1" applyAlignment="1">
      <alignment vertical="center" wrapText="1" shrinkToFit="1"/>
    </xf>
    <xf numFmtId="49" fontId="12" fillId="0" borderId="0" xfId="0" applyNumberFormat="1" applyFont="1" applyFill="1" applyBorder="1" applyAlignment="1">
      <alignment vertical="center" wrapText="1" shrinkToFit="1"/>
    </xf>
    <xf numFmtId="0" fontId="12" fillId="0" borderId="14" xfId="0" applyFont="1" applyFill="1" applyBorder="1" applyAlignment="1">
      <alignment vertical="center" wrapText="1" shrinkToFit="1"/>
    </xf>
    <xf numFmtId="0" fontId="16" fillId="0" borderId="1" xfId="0" quotePrefix="1" applyFont="1" applyFill="1" applyBorder="1" applyAlignment="1">
      <alignment horizontal="center" vertical="center" wrapText="1"/>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166" fontId="14" fillId="0" borderId="1" xfId="1" applyNumberFormat="1" applyFont="1" applyFill="1" applyBorder="1" applyAlignment="1">
      <alignment vertical="center"/>
    </xf>
    <xf numFmtId="174" fontId="14" fillId="0" borderId="1" xfId="2" applyNumberFormat="1" applyFont="1" applyFill="1" applyBorder="1" applyAlignment="1">
      <alignment vertical="center"/>
    </xf>
    <xf numFmtId="166" fontId="17" fillId="0" borderId="1" xfId="1" applyNumberFormat="1"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vertical="center"/>
    </xf>
    <xf numFmtId="166" fontId="21" fillId="0" borderId="1" xfId="1" applyNumberFormat="1" applyFont="1" applyFill="1" applyBorder="1" applyAlignment="1">
      <alignment vertical="center"/>
    </xf>
    <xf numFmtId="174" fontId="21" fillId="0" borderId="1" xfId="2" applyNumberFormat="1" applyFont="1" applyFill="1" applyBorder="1" applyAlignment="1">
      <alignment vertical="center"/>
    </xf>
    <xf numFmtId="174" fontId="12" fillId="0" borderId="1" xfId="2" applyNumberFormat="1" applyFont="1" applyFill="1" applyBorder="1" applyAlignment="1">
      <alignment vertical="center"/>
    </xf>
    <xf numFmtId="171" fontId="21" fillId="0" borderId="1" xfId="2" applyNumberFormat="1" applyFont="1" applyFill="1" applyBorder="1" applyAlignment="1">
      <alignment vertical="center"/>
    </xf>
    <xf numFmtId="49" fontId="12" fillId="0" borderId="1" xfId="4" quotePrefix="1" applyNumberFormat="1" applyFont="1" applyFill="1" applyBorder="1" applyAlignment="1">
      <alignment horizontal="center" vertical="center" wrapText="1"/>
    </xf>
    <xf numFmtId="176" fontId="12" fillId="0" borderId="1" xfId="4" applyNumberFormat="1" applyFont="1" applyFill="1" applyBorder="1" applyAlignment="1">
      <alignment vertical="center" wrapText="1"/>
    </xf>
    <xf numFmtId="166" fontId="12" fillId="0" borderId="1" xfId="1" applyNumberFormat="1" applyFont="1" applyFill="1" applyBorder="1" applyAlignment="1">
      <alignment vertical="center" wrapText="1"/>
    </xf>
    <xf numFmtId="166" fontId="12" fillId="0" borderId="1" xfId="1" applyNumberFormat="1" applyFont="1" applyFill="1" applyBorder="1" applyAlignment="1">
      <alignment vertical="center"/>
    </xf>
    <xf numFmtId="49" fontId="21" fillId="0" borderId="1" xfId="4" quotePrefix="1" applyNumberFormat="1" applyFont="1" applyFill="1" applyBorder="1" applyAlignment="1">
      <alignment horizontal="center" vertical="center" wrapText="1"/>
    </xf>
    <xf numFmtId="0" fontId="21" fillId="0" borderId="1" xfId="5" applyFont="1" applyFill="1" applyBorder="1" applyAlignment="1">
      <alignment vertical="center"/>
    </xf>
    <xf numFmtId="176" fontId="12" fillId="0" borderId="1" xfId="4" applyNumberFormat="1" applyFont="1" applyFill="1" applyBorder="1" applyAlignment="1">
      <alignment horizontal="left" vertical="center" wrapText="1"/>
    </xf>
    <xf numFmtId="166" fontId="12" fillId="0" borderId="1" xfId="1" applyNumberFormat="1" applyFont="1" applyFill="1" applyBorder="1" applyAlignment="1">
      <alignment horizontal="left" vertical="center" wrapText="1"/>
    </xf>
    <xf numFmtId="49" fontId="14" fillId="0" borderId="1" xfId="4" applyNumberFormat="1" applyFont="1" applyFill="1" applyBorder="1" applyAlignment="1">
      <alignment horizontal="center" vertical="center" wrapText="1"/>
    </xf>
    <xf numFmtId="174" fontId="14" fillId="0" borderId="1" xfId="6" applyNumberFormat="1" applyFont="1" applyFill="1" applyBorder="1" applyAlignment="1">
      <alignment horizontal="left" vertical="center" wrapText="1"/>
    </xf>
    <xf numFmtId="166" fontId="14" fillId="0" borderId="1" xfId="1" applyNumberFormat="1" applyFont="1" applyFill="1" applyBorder="1" applyAlignment="1">
      <alignment horizontal="center" vertical="center" wrapText="1"/>
    </xf>
    <xf numFmtId="49" fontId="12" fillId="0" borderId="1" xfId="4" applyNumberFormat="1" applyFont="1" applyFill="1" applyBorder="1" applyAlignment="1">
      <alignment horizontal="center" vertical="center" wrapText="1"/>
    </xf>
    <xf numFmtId="174" fontId="12" fillId="0" borderId="1" xfId="6" applyNumberFormat="1" applyFont="1" applyFill="1" applyBorder="1" applyAlignment="1">
      <alignment horizontal="left" vertical="center" wrapText="1"/>
    </xf>
    <xf numFmtId="166" fontId="12" fillId="0" borderId="1" xfId="1" applyNumberFormat="1" applyFont="1" applyFill="1" applyBorder="1" applyAlignment="1">
      <alignment horizontal="center" vertical="center" wrapText="1"/>
    </xf>
    <xf numFmtId="49" fontId="21" fillId="0" borderId="1" xfId="4" applyNumberFormat="1" applyFont="1" applyFill="1" applyBorder="1" applyAlignment="1">
      <alignment horizontal="center" vertical="center" wrapText="1"/>
    </xf>
    <xf numFmtId="174" fontId="21" fillId="0" borderId="1" xfId="6" applyNumberFormat="1" applyFont="1" applyFill="1" applyBorder="1" applyAlignment="1">
      <alignment horizontal="left" vertical="center" wrapText="1"/>
    </xf>
    <xf numFmtId="166" fontId="21" fillId="0" borderId="1" xfId="1"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2" fillId="0" borderId="1" xfId="0" applyFont="1" applyFill="1" applyBorder="1" applyAlignment="1">
      <alignment vertical="center"/>
    </xf>
    <xf numFmtId="9" fontId="12" fillId="0" borderId="1" xfId="1" applyNumberFormat="1" applyFont="1" applyFill="1" applyBorder="1" applyAlignment="1">
      <alignment vertical="center"/>
    </xf>
    <xf numFmtId="171" fontId="12" fillId="0" borderId="1" xfId="2" applyNumberFormat="1" applyFont="1" applyFill="1" applyBorder="1" applyAlignment="1">
      <alignment vertical="center"/>
    </xf>
    <xf numFmtId="0" fontId="12" fillId="0" borderId="1" xfId="0" applyFont="1" applyFill="1" applyBorder="1" applyAlignment="1">
      <alignment vertical="center" wrapText="1" shrinkToFit="1"/>
    </xf>
    <xf numFmtId="166" fontId="3" fillId="0" borderId="3" xfId="1" applyNumberFormat="1" applyFont="1" applyFill="1" applyBorder="1" applyAlignment="1">
      <alignment horizontal="right" vertical="center" wrapText="1"/>
    </xf>
    <xf numFmtId="171" fontId="4" fillId="0" borderId="3" xfId="2" applyNumberFormat="1" applyFont="1" applyFill="1" applyBorder="1" applyAlignment="1">
      <alignment horizontal="center" vertical="center" wrapText="1"/>
    </xf>
    <xf numFmtId="171" fontId="4" fillId="0" borderId="4" xfId="2" applyNumberFormat="1" applyFont="1" applyFill="1" applyBorder="1" applyAlignment="1">
      <alignment horizontal="center" vertical="center" wrapText="1"/>
    </xf>
    <xf numFmtId="166" fontId="3" fillId="0" borderId="12" xfId="1" applyNumberFormat="1" applyFont="1" applyFill="1" applyBorder="1" applyAlignment="1">
      <alignment horizontal="right" vertical="center" wrapText="1"/>
    </xf>
    <xf numFmtId="0" fontId="3" fillId="0" borderId="0" xfId="0" applyFont="1"/>
    <xf numFmtId="0" fontId="5" fillId="0" borderId="0" xfId="0" applyFont="1" applyAlignment="1">
      <alignment horizontal="right" vertical="center"/>
    </xf>
    <xf numFmtId="0" fontId="4" fillId="0" borderId="0" xfId="0" applyFont="1" applyAlignment="1">
      <alignment horizontal="right" vertical="center"/>
    </xf>
    <xf numFmtId="0" fontId="5" fillId="0" borderId="5" xfId="0" applyFont="1" applyBorder="1" applyAlignment="1">
      <alignment horizontal="center" vertical="center" wrapText="1"/>
    </xf>
    <xf numFmtId="0" fontId="5" fillId="0" borderId="5" xfId="0" applyFont="1" applyBorder="1" applyAlignment="1">
      <alignment vertical="center" wrapText="1"/>
    </xf>
    <xf numFmtId="41"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3" fillId="0" borderId="3" xfId="0" applyFont="1" applyBorder="1" applyAlignment="1">
      <alignment horizontal="center" vertical="center" wrapText="1"/>
    </xf>
    <xf numFmtId="0" fontId="4" fillId="0" borderId="3" xfId="0" applyFont="1" applyBorder="1" applyAlignment="1">
      <alignment vertical="center" wrapText="1"/>
    </xf>
    <xf numFmtId="41" fontId="3" fillId="0" borderId="3" xfId="0" applyNumberFormat="1" applyFont="1" applyBorder="1" applyAlignment="1">
      <alignment horizontal="center" vertical="center" wrapText="1"/>
    </xf>
    <xf numFmtId="0" fontId="5" fillId="0" borderId="0" xfId="0" applyFont="1"/>
    <xf numFmtId="0" fontId="4" fillId="0" borderId="3" xfId="0" applyFont="1" applyBorder="1" applyAlignment="1">
      <alignment horizontal="center" vertical="center" wrapText="1"/>
    </xf>
    <xf numFmtId="41" fontId="4" fillId="0" borderId="3" xfId="0" applyNumberFormat="1" applyFont="1" applyBorder="1" applyAlignment="1">
      <alignment horizontal="center" vertical="center" wrapText="1"/>
    </xf>
    <xf numFmtId="0" fontId="4" fillId="0" borderId="0" xfId="0" applyFont="1"/>
    <xf numFmtId="0" fontId="3" fillId="0" borderId="3" xfId="0" applyFont="1" applyBorder="1" applyAlignment="1">
      <alignment vertical="center" wrapText="1"/>
    </xf>
    <xf numFmtId="41" fontId="4" fillId="0" borderId="12" xfId="0" applyNumberFormat="1" applyFont="1" applyBorder="1" applyAlignment="1">
      <alignment horizontal="center" vertical="center" wrapText="1"/>
    </xf>
    <xf numFmtId="0" fontId="8" fillId="0" borderId="0" xfId="0" applyFont="1"/>
    <xf numFmtId="0" fontId="9" fillId="0" borderId="0" xfId="0" applyFont="1"/>
    <xf numFmtId="0" fontId="10" fillId="0" borderId="0" xfId="0" applyFont="1"/>
    <xf numFmtId="172" fontId="10" fillId="0" borderId="0" xfId="0" applyNumberFormat="1" applyFont="1"/>
    <xf numFmtId="0" fontId="4" fillId="0" borderId="4" xfId="0" applyFont="1" applyBorder="1" applyAlignment="1">
      <alignment horizontal="center" vertical="center" wrapText="1"/>
    </xf>
    <xf numFmtId="0" fontId="4" fillId="0" borderId="4" xfId="0" applyFont="1" applyBorder="1" applyAlignment="1">
      <alignment vertical="center" wrapText="1"/>
    </xf>
    <xf numFmtId="41" fontId="4" fillId="0" borderId="4"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3" xfId="0" applyFont="1" applyBorder="1" applyAlignment="1">
      <alignment vertical="center" wrapText="1"/>
    </xf>
    <xf numFmtId="41" fontId="30" fillId="0" borderId="3" xfId="0" applyNumberFormat="1" applyFont="1" applyBorder="1" applyAlignment="1">
      <alignment horizontal="center" vertical="center" wrapText="1"/>
    </xf>
    <xf numFmtId="0" fontId="31" fillId="0" borderId="0" xfId="0" applyFont="1"/>
    <xf numFmtId="41" fontId="31" fillId="0" borderId="0" xfId="0" applyNumberFormat="1" applyFont="1"/>
    <xf numFmtId="0" fontId="3" fillId="0" borderId="0" xfId="0" applyFont="1" applyAlignment="1">
      <alignment vertical="center"/>
    </xf>
    <xf numFmtId="0" fontId="7" fillId="0" borderId="0" xfId="0" applyFont="1" applyAlignment="1">
      <alignment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wrapText="1"/>
    </xf>
    <xf numFmtId="41" fontId="3" fillId="0" borderId="2" xfId="0" applyNumberFormat="1" applyFont="1" applyBorder="1" applyAlignment="1">
      <alignment horizontal="right" vertical="center" wrapText="1"/>
    </xf>
    <xf numFmtId="41" fontId="3" fillId="0" borderId="3" xfId="0" applyNumberFormat="1" applyFont="1" applyBorder="1" applyAlignment="1">
      <alignment horizontal="right" vertical="center" wrapText="1"/>
    </xf>
    <xf numFmtId="0" fontId="3" fillId="0" borderId="3" xfId="0" applyFont="1" applyBorder="1" applyAlignment="1">
      <alignment horizontal="right" vertical="center" wrapText="1"/>
    </xf>
    <xf numFmtId="167" fontId="3" fillId="0" borderId="0" xfId="0" applyNumberFormat="1" applyFont="1" applyAlignment="1">
      <alignment vertical="center"/>
    </xf>
    <xf numFmtId="164" fontId="3" fillId="0" borderId="3" xfId="0" applyNumberFormat="1" applyFont="1" applyBorder="1" applyAlignment="1">
      <alignment horizontal="right" vertical="center" wrapText="1"/>
    </xf>
    <xf numFmtId="4" fontId="3" fillId="0" borderId="3" xfId="3" applyNumberFormat="1" applyFont="1" applyBorder="1" applyAlignment="1">
      <alignment horizontal="right" vertical="center"/>
    </xf>
    <xf numFmtId="41" fontId="3" fillId="0" borderId="0" xfId="0" applyNumberFormat="1" applyFont="1" applyAlignment="1">
      <alignment vertical="center"/>
    </xf>
    <xf numFmtId="41" fontId="4" fillId="0" borderId="3" xfId="0" applyNumberFormat="1" applyFont="1" applyBorder="1" applyAlignment="1">
      <alignment horizontal="right" vertical="center" wrapText="1"/>
    </xf>
    <xf numFmtId="164" fontId="4" fillId="0" borderId="3" xfId="0" applyNumberFormat="1" applyFont="1" applyBorder="1" applyAlignment="1">
      <alignment horizontal="right" vertical="center" wrapText="1"/>
    </xf>
    <xf numFmtId="0" fontId="4" fillId="0" borderId="0" xfId="0" applyFont="1" applyAlignment="1">
      <alignment vertical="center"/>
    </xf>
    <xf numFmtId="164" fontId="3" fillId="0" borderId="0" xfId="0" applyNumberFormat="1" applyFont="1" applyAlignment="1">
      <alignment vertical="center"/>
    </xf>
    <xf numFmtId="165" fontId="3" fillId="0" borderId="3" xfId="0" applyNumberFormat="1" applyFont="1" applyBorder="1" applyAlignment="1">
      <alignment horizontal="right" vertical="center" wrapText="1"/>
    </xf>
    <xf numFmtId="169" fontId="3" fillId="0" borderId="3"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41" fontId="4" fillId="0" borderId="3" xfId="0" quotePrefix="1" applyNumberFormat="1" applyFont="1" applyBorder="1" applyAlignment="1">
      <alignment horizontal="right" vertical="center" wrapText="1"/>
    </xf>
    <xf numFmtId="4" fontId="4" fillId="0" borderId="3" xfId="0" applyNumberFormat="1" applyFont="1" applyBorder="1" applyAlignment="1">
      <alignment horizontal="right" vertical="center" wrapText="1"/>
    </xf>
    <xf numFmtId="170" fontId="3" fillId="0" borderId="3" xfId="0" applyNumberFormat="1" applyFont="1" applyBorder="1" applyAlignment="1">
      <alignment horizontal="right" vertical="center" wrapText="1"/>
    </xf>
    <xf numFmtId="16" fontId="4" fillId="0" borderId="3" xfId="0" quotePrefix="1" applyNumberFormat="1" applyFont="1" applyBorder="1" applyAlignment="1">
      <alignment horizontal="right" vertical="center" wrapText="1"/>
    </xf>
    <xf numFmtId="16" fontId="3" fillId="0" borderId="3" xfId="0" quotePrefix="1" applyNumberFormat="1" applyFont="1" applyBorder="1" applyAlignment="1">
      <alignment horizontal="right" vertical="center" wrapText="1"/>
    </xf>
    <xf numFmtId="173" fontId="3" fillId="0" borderId="3" xfId="0" applyNumberFormat="1" applyFont="1" applyBorder="1" applyAlignment="1">
      <alignment horizontal="right" vertical="center" wrapText="1"/>
    </xf>
    <xf numFmtId="168" fontId="3" fillId="0" borderId="3" xfId="0" applyNumberFormat="1" applyFont="1" applyBorder="1" applyAlignment="1">
      <alignment horizontal="center" vertical="center" wrapText="1"/>
    </xf>
    <xf numFmtId="168" fontId="3" fillId="0" borderId="3" xfId="0" applyNumberFormat="1" applyFont="1" applyBorder="1" applyAlignment="1">
      <alignment horizontal="right" vertical="center" wrapText="1"/>
    </xf>
    <xf numFmtId="43" fontId="3" fillId="0" borderId="0" xfId="0" applyNumberFormat="1" applyFont="1" applyAlignment="1">
      <alignment vertical="center"/>
    </xf>
    <xf numFmtId="0" fontId="3" fillId="0" borderId="3" xfId="0" quotePrefix="1" applyFont="1" applyBorder="1" applyAlignment="1">
      <alignment horizontal="right" vertical="center" wrapText="1"/>
    </xf>
    <xf numFmtId="0" fontId="3" fillId="0" borderId="3" xfId="0" quotePrefix="1" applyFont="1" applyBorder="1" applyAlignment="1">
      <alignment horizontal="center" vertical="center" wrapText="1"/>
    </xf>
    <xf numFmtId="167" fontId="3" fillId="0" borderId="3" xfId="0" applyNumberFormat="1" applyFont="1" applyBorder="1" applyAlignment="1">
      <alignment horizontal="right" vertical="center" wrapText="1"/>
    </xf>
    <xf numFmtId="177" fontId="3" fillId="0" borderId="3" xfId="0" applyNumberFormat="1" applyFont="1" applyBorder="1" applyAlignment="1">
      <alignment horizontal="right" vertical="center" wrapText="1"/>
    </xf>
    <xf numFmtId="0" fontId="3" fillId="0" borderId="4" xfId="0" applyFont="1" applyBorder="1" applyAlignment="1">
      <alignment horizontal="center" vertical="center" wrapText="1"/>
    </xf>
    <xf numFmtId="41" fontId="3" fillId="0" borderId="4" xfId="0" applyNumberFormat="1" applyFont="1" applyBorder="1" applyAlignment="1">
      <alignment horizontal="center" vertical="center" wrapText="1"/>
    </xf>
    <xf numFmtId="0" fontId="3" fillId="0" borderId="0" xfId="0" applyFont="1" applyAlignment="1">
      <alignment horizontal="center" vertical="center"/>
    </xf>
    <xf numFmtId="41" fontId="3" fillId="0" borderId="0" xfId="0" applyNumberFormat="1" applyFont="1"/>
    <xf numFmtId="10" fontId="3" fillId="0" borderId="12" xfId="1" applyNumberFormat="1" applyFont="1" applyFill="1" applyBorder="1" applyAlignment="1">
      <alignment horizontal="right" vertical="center" wrapText="1"/>
    </xf>
    <xf numFmtId="41" fontId="5" fillId="0" borderId="5"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41" fontId="3" fillId="0" borderId="3" xfId="0" applyNumberFormat="1" applyFont="1" applyFill="1" applyBorder="1" applyAlignment="1">
      <alignment horizontal="center" vertical="center" wrapText="1"/>
    </xf>
    <xf numFmtId="41" fontId="5" fillId="0" borderId="3" xfId="0" applyNumberFormat="1" applyFont="1" applyFill="1" applyBorder="1" applyAlignment="1">
      <alignment horizontal="center" vertical="center" wrapText="1"/>
    </xf>
    <xf numFmtId="0" fontId="33" fillId="0" borderId="0" xfId="0" applyFont="1" applyAlignment="1">
      <alignment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left" vertical="center" wrapText="1"/>
    </xf>
    <xf numFmtId="0" fontId="32" fillId="0" borderId="0" xfId="0" applyFont="1" applyAlignment="1">
      <alignment horizontal="left" vertical="center" wrapText="1"/>
    </xf>
    <xf numFmtId="0" fontId="4" fillId="0" borderId="0" xfId="0" applyFont="1" applyAlignment="1">
      <alignment horizontal="left" wrapText="1"/>
    </xf>
    <xf numFmtId="0" fontId="5" fillId="0" borderId="1" xfId="0" applyFont="1" applyBorder="1" applyAlignment="1">
      <alignment horizontal="center" vertical="center" wrapText="1"/>
    </xf>
    <xf numFmtId="174" fontId="12" fillId="0" borderId="1" xfId="2" applyNumberFormat="1" applyFont="1" applyFill="1" applyBorder="1" applyAlignment="1">
      <alignment horizontal="center" vertical="center"/>
    </xf>
    <xf numFmtId="0" fontId="12" fillId="0" borderId="0" xfId="0" applyFont="1" applyFill="1" applyAlignment="1">
      <alignment vertical="center" wrapText="1" shrinkToFit="1"/>
    </xf>
    <xf numFmtId="174" fontId="12" fillId="0" borderId="0" xfId="2" applyNumberFormat="1" applyFont="1" applyFill="1" applyAlignment="1">
      <alignment horizontal="left" vertical="center" wrapText="1"/>
    </xf>
    <xf numFmtId="174" fontId="14" fillId="0" borderId="0" xfId="2" applyNumberFormat="1" applyFont="1" applyFill="1" applyAlignment="1">
      <alignment horizontal="center" vertical="center"/>
    </xf>
    <xf numFmtId="174" fontId="12" fillId="0" borderId="1" xfId="2" applyNumberFormat="1"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12" fillId="0" borderId="6" xfId="0" applyFont="1" applyFill="1" applyBorder="1" applyAlignment="1">
      <alignment horizontal="left" vertical="center"/>
    </xf>
    <xf numFmtId="0" fontId="11"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49" fontId="19" fillId="0" borderId="14"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center" vertical="center" wrapText="1" shrinkToFit="1"/>
    </xf>
    <xf numFmtId="0" fontId="19" fillId="0" borderId="14" xfId="0" applyFont="1" applyFill="1" applyBorder="1" applyAlignment="1">
      <alignment horizontal="center" wrapText="1" shrinkToFit="1"/>
    </xf>
    <xf numFmtId="0" fontId="19" fillId="0" borderId="0" xfId="0" applyFont="1" applyFill="1" applyAlignment="1">
      <alignment horizontal="center" wrapText="1" shrinkToFit="1"/>
    </xf>
    <xf numFmtId="0" fontId="12" fillId="0" borderId="6" xfId="0" applyFont="1" applyFill="1" applyBorder="1" applyAlignment="1">
      <alignment horizontal="left"/>
    </xf>
    <xf numFmtId="0" fontId="11" fillId="0" borderId="0" xfId="0" applyFont="1" applyFill="1" applyBorder="1" applyAlignment="1">
      <alignment horizontal="center"/>
    </xf>
    <xf numFmtId="0" fontId="13" fillId="0" borderId="0" xfId="0" applyFont="1" applyFill="1" applyBorder="1" applyAlignment="1">
      <alignment horizontal="left"/>
    </xf>
    <xf numFmtId="0" fontId="12" fillId="0" borderId="8"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174" fontId="12" fillId="0" borderId="9" xfId="2" applyNumberFormat="1" applyFont="1" applyFill="1" applyBorder="1" applyAlignment="1">
      <alignment horizontal="center" vertical="center"/>
    </xf>
    <xf numFmtId="174" fontId="12" fillId="0" borderId="10" xfId="2" applyNumberFormat="1" applyFont="1" applyFill="1" applyBorder="1" applyAlignment="1">
      <alignment horizontal="center" vertical="center"/>
    </xf>
    <xf numFmtId="174" fontId="12" fillId="0" borderId="8" xfId="2" applyNumberFormat="1" applyFont="1" applyFill="1" applyBorder="1" applyAlignment="1">
      <alignment horizontal="center" vertical="center" wrapText="1"/>
    </xf>
    <xf numFmtId="174" fontId="12" fillId="0" borderId="11" xfId="2" applyNumberFormat="1" applyFont="1" applyFill="1" applyBorder="1" applyAlignment="1">
      <alignment horizontal="center" vertical="center" wrapText="1"/>
    </xf>
    <xf numFmtId="41" fontId="5" fillId="0" borderId="5" xfId="0" applyNumberFormat="1" applyFont="1" applyFill="1" applyBorder="1" applyAlignment="1">
      <alignment horizontal="center" vertical="center" wrapText="1"/>
    </xf>
    <xf numFmtId="41" fontId="4" fillId="0" borderId="3" xfId="0" applyNumberFormat="1" applyFont="1" applyFill="1" applyBorder="1" applyAlignment="1">
      <alignment horizontal="center" vertical="center" wrapText="1"/>
    </xf>
    <xf numFmtId="0" fontId="3" fillId="0" borderId="4" xfId="0" applyFont="1" applyBorder="1" applyAlignment="1">
      <alignment vertical="center" wrapText="1"/>
    </xf>
  </cellXfs>
  <cellStyles count="9">
    <cellStyle name="Comma" xfId="2" builtinId="3"/>
    <cellStyle name="Comma 10 2" xfId="4"/>
    <cellStyle name="Comma 14" xfId="6"/>
    <cellStyle name="Comma 2" xfId="7"/>
    <cellStyle name="Normal" xfId="0" builtinId="0"/>
    <cellStyle name="Normal 14" xfId="8"/>
    <cellStyle name="Normal 9 2" xfId="5"/>
    <cellStyle name="Normal_bieu mau KH2008" xfId="3"/>
    <cellStyle name="Percent"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TONG%20HOP%202020\H&#7890;%20SO%20TRINH%20H&#272;ND%20KY%20HOP%2011\NQ%20KHTC%205%20nam%202021-2025\2-2-Bieu-kem-To-trinh-KH-TC-5-nam-CT-3-11-2021_trinh%20U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1"/>
      <sheetName val="Bieu 2"/>
      <sheetName val="Thu chi 2021_2025 (chi tiet)"/>
      <sheetName val="Sheet1"/>
    </sheetNames>
    <sheetDataSet>
      <sheetData sheetId="0">
        <row r="8">
          <cell r="F8">
            <v>16323000</v>
          </cell>
          <cell r="G8">
            <v>18080000</v>
          </cell>
          <cell r="H8">
            <v>19980000</v>
          </cell>
          <cell r="I8">
            <v>22430000</v>
          </cell>
          <cell r="J8">
            <v>25851000</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80" zoomScaleNormal="80" workbookViewId="0">
      <pane xSplit="1" ySplit="7" topLeftCell="B8" activePane="bottomRight" state="frozen"/>
      <selection pane="topRight" activeCell="B1" sqref="B1"/>
      <selection pane="bottomLeft" activeCell="A7" sqref="A7"/>
      <selection pane="bottomRight" activeCell="G15" sqref="G15"/>
    </sheetView>
  </sheetViews>
  <sheetFormatPr defaultColWidth="9.140625" defaultRowHeight="16.5" x14ac:dyDescent="0.25"/>
  <cols>
    <col min="1" max="1" width="6.5703125" style="184" customWidth="1"/>
    <col min="2" max="2" width="33.28515625" style="184" customWidth="1"/>
    <col min="3" max="3" width="9.140625" style="184"/>
    <col min="4" max="10" width="15.140625" style="184" customWidth="1"/>
    <col min="11" max="11" width="19.140625" style="220" customWidth="1"/>
    <col min="12" max="12" width="19.85546875" style="184" hidden="1" customWidth="1"/>
    <col min="13" max="13" width="15" style="184" bestFit="1" customWidth="1"/>
    <col min="14" max="14" width="9.140625" style="184"/>
    <col min="15" max="19" width="11.28515625" style="184" bestFit="1" customWidth="1"/>
    <col min="20" max="16384" width="9.140625" style="184"/>
  </cols>
  <sheetData>
    <row r="1" spans="1:19" x14ac:dyDescent="0.25">
      <c r="K1" s="156" t="s">
        <v>188</v>
      </c>
    </row>
    <row r="2" spans="1:19" s="185" customFormat="1" ht="19.5" x14ac:dyDescent="0.25">
      <c r="A2" s="231" t="s">
        <v>86</v>
      </c>
      <c r="B2" s="231"/>
      <c r="C2" s="231"/>
      <c r="D2" s="231"/>
      <c r="E2" s="231"/>
      <c r="F2" s="231"/>
      <c r="G2" s="231"/>
      <c r="H2" s="231"/>
      <c r="I2" s="231"/>
      <c r="J2" s="231"/>
      <c r="K2" s="231"/>
    </row>
    <row r="3" spans="1:19" x14ac:dyDescent="0.25">
      <c r="A3" s="235" t="s">
        <v>167</v>
      </c>
      <c r="B3" s="235"/>
      <c r="C3" s="235"/>
      <c r="D3" s="235"/>
      <c r="E3" s="235"/>
      <c r="F3" s="235"/>
      <c r="G3" s="235"/>
      <c r="H3" s="235"/>
      <c r="I3" s="235"/>
      <c r="J3" s="235"/>
      <c r="K3" s="235"/>
    </row>
    <row r="4" spans="1:19" x14ac:dyDescent="0.25">
      <c r="A4" s="186"/>
      <c r="B4" s="187"/>
      <c r="C4" s="188"/>
      <c r="D4" s="188"/>
      <c r="E4" s="188"/>
      <c r="F4" s="188"/>
      <c r="G4" s="188"/>
      <c r="H4" s="188"/>
      <c r="I4" s="188"/>
      <c r="J4" s="188"/>
      <c r="K4" s="188"/>
    </row>
    <row r="5" spans="1:19" x14ac:dyDescent="0.25">
      <c r="A5" s="229" t="s">
        <v>0</v>
      </c>
      <c r="B5" s="229" t="s">
        <v>1</v>
      </c>
      <c r="C5" s="229" t="s">
        <v>2</v>
      </c>
      <c r="D5" s="229" t="s">
        <v>89</v>
      </c>
      <c r="E5" s="232" t="s">
        <v>91</v>
      </c>
      <c r="F5" s="233"/>
      <c r="G5" s="233"/>
      <c r="H5" s="233"/>
      <c r="I5" s="233"/>
      <c r="J5" s="234"/>
      <c r="K5" s="229" t="s">
        <v>87</v>
      </c>
      <c r="L5" s="229" t="s">
        <v>158</v>
      </c>
    </row>
    <row r="6" spans="1:19" ht="33" x14ac:dyDescent="0.25">
      <c r="A6" s="230"/>
      <c r="B6" s="230"/>
      <c r="C6" s="230"/>
      <c r="D6" s="230"/>
      <c r="E6" s="228" t="s">
        <v>3</v>
      </c>
      <c r="F6" s="228" t="s">
        <v>90</v>
      </c>
      <c r="G6" s="228" t="s">
        <v>82</v>
      </c>
      <c r="H6" s="228" t="s">
        <v>83</v>
      </c>
      <c r="I6" s="228" t="s">
        <v>84</v>
      </c>
      <c r="J6" s="228" t="s">
        <v>85</v>
      </c>
      <c r="K6" s="230"/>
      <c r="L6" s="230"/>
    </row>
    <row r="7" spans="1:19" x14ac:dyDescent="0.25">
      <c r="A7" s="228" t="s">
        <v>4</v>
      </c>
      <c r="B7" s="228" t="s">
        <v>5</v>
      </c>
      <c r="C7" s="228">
        <v>1</v>
      </c>
      <c r="D7" s="228">
        <v>2</v>
      </c>
      <c r="E7" s="228">
        <v>3</v>
      </c>
      <c r="F7" s="228">
        <v>4</v>
      </c>
      <c r="G7" s="228">
        <v>5</v>
      </c>
      <c r="H7" s="228">
        <v>6</v>
      </c>
      <c r="I7" s="228">
        <v>7</v>
      </c>
      <c r="J7" s="228">
        <v>8</v>
      </c>
      <c r="K7" s="228">
        <v>9</v>
      </c>
      <c r="L7" s="228"/>
    </row>
    <row r="8" spans="1:19" ht="33" x14ac:dyDescent="0.25">
      <c r="A8" s="189">
        <v>1</v>
      </c>
      <c r="B8" s="190" t="s">
        <v>93</v>
      </c>
      <c r="C8" s="189" t="s">
        <v>6</v>
      </c>
      <c r="D8" s="191">
        <v>116381000</v>
      </c>
      <c r="E8" s="191">
        <f>F8+G8+H8+I8+J8</f>
        <v>102664000</v>
      </c>
      <c r="F8" s="191">
        <v>16323000</v>
      </c>
      <c r="G8" s="191">
        <v>18080000</v>
      </c>
      <c r="H8" s="191">
        <v>19980000</v>
      </c>
      <c r="I8" s="191">
        <v>22430000</v>
      </c>
      <c r="J8" s="191">
        <v>25851000</v>
      </c>
      <c r="K8" s="191">
        <v>179610000</v>
      </c>
      <c r="L8" s="191"/>
      <c r="M8" s="197"/>
    </row>
    <row r="9" spans="1:19" x14ac:dyDescent="0.25">
      <c r="A9" s="163">
        <v>2</v>
      </c>
      <c r="B9" s="170" t="s">
        <v>7</v>
      </c>
      <c r="C9" s="163" t="s">
        <v>8</v>
      </c>
      <c r="D9" s="192" t="s">
        <v>99</v>
      </c>
      <c r="E9" s="192"/>
      <c r="F9" s="195">
        <v>8.0399999999999991</v>
      </c>
      <c r="G9" s="195">
        <v>9.01</v>
      </c>
      <c r="H9" s="195">
        <v>9.27</v>
      </c>
      <c r="I9" s="195">
        <v>9.9600000000000009</v>
      </c>
      <c r="J9" s="195">
        <v>9.39</v>
      </c>
      <c r="K9" s="193" t="s">
        <v>161</v>
      </c>
      <c r="L9" s="193"/>
    </row>
    <row r="10" spans="1:19" x14ac:dyDescent="0.25">
      <c r="A10" s="163">
        <v>3</v>
      </c>
      <c r="B10" s="170" t="s">
        <v>9</v>
      </c>
      <c r="C10" s="163"/>
      <c r="D10" s="192"/>
      <c r="E10" s="192">
        <f t="shared" ref="E10:E25" si="0">F10+G10+H10+I10+J10</f>
        <v>0</v>
      </c>
      <c r="F10" s="192"/>
      <c r="G10" s="192"/>
      <c r="H10" s="192"/>
      <c r="I10" s="192"/>
      <c r="J10" s="192"/>
      <c r="K10" s="192"/>
      <c r="L10" s="192"/>
      <c r="M10" s="194"/>
    </row>
    <row r="11" spans="1:19" x14ac:dyDescent="0.25">
      <c r="A11" s="163" t="s">
        <v>10</v>
      </c>
      <c r="B11" s="164" t="s">
        <v>11</v>
      </c>
      <c r="C11" s="163" t="s">
        <v>8</v>
      </c>
      <c r="D11" s="192"/>
      <c r="E11" s="192"/>
      <c r="F11" s="195">
        <v>28.54</v>
      </c>
      <c r="G11" s="195">
        <v>27.27</v>
      </c>
      <c r="H11" s="195">
        <v>26.576576576576578</v>
      </c>
      <c r="I11" s="196">
        <v>25.65</v>
      </c>
      <c r="J11" s="195">
        <v>22.62968550539631</v>
      </c>
      <c r="K11" s="195" t="s">
        <v>101</v>
      </c>
      <c r="L11" s="195"/>
      <c r="M11" s="194"/>
    </row>
    <row r="12" spans="1:19" x14ac:dyDescent="0.25">
      <c r="A12" s="163" t="s">
        <v>10</v>
      </c>
      <c r="B12" s="164" t="s">
        <v>12</v>
      </c>
      <c r="C12" s="163" t="s">
        <v>8</v>
      </c>
      <c r="D12" s="192"/>
      <c r="E12" s="192"/>
      <c r="F12" s="195">
        <v>24.17</v>
      </c>
      <c r="G12" s="195">
        <v>24.83</v>
      </c>
      <c r="H12" s="195">
        <v>25.775775775775777</v>
      </c>
      <c r="I12" s="196">
        <v>26.76</v>
      </c>
      <c r="J12" s="195">
        <v>27.581138060423193</v>
      </c>
      <c r="K12" s="195" t="s">
        <v>184</v>
      </c>
      <c r="L12" s="195"/>
      <c r="M12" s="194"/>
    </row>
    <row r="13" spans="1:19" x14ac:dyDescent="0.25">
      <c r="A13" s="163" t="s">
        <v>10</v>
      </c>
      <c r="B13" s="164" t="s">
        <v>13</v>
      </c>
      <c r="C13" s="163" t="s">
        <v>8</v>
      </c>
      <c r="D13" s="192"/>
      <c r="E13" s="192"/>
      <c r="F13" s="195">
        <v>39.369999999999997</v>
      </c>
      <c r="G13" s="195">
        <v>39.659999999999997</v>
      </c>
      <c r="H13" s="195">
        <v>39.63963963963964</v>
      </c>
      <c r="I13" s="196">
        <v>39.92</v>
      </c>
      <c r="J13" s="195">
        <v>42.82619627867394</v>
      </c>
      <c r="K13" s="195" t="s">
        <v>162</v>
      </c>
      <c r="L13" s="195" t="s">
        <v>159</v>
      </c>
      <c r="M13" s="194"/>
    </row>
    <row r="14" spans="1:19" x14ac:dyDescent="0.25">
      <c r="A14" s="163">
        <v>4</v>
      </c>
      <c r="B14" s="170" t="s">
        <v>14</v>
      </c>
      <c r="C14" s="163" t="s">
        <v>8</v>
      </c>
      <c r="D14" s="192"/>
      <c r="E14" s="192"/>
      <c r="F14" s="195">
        <v>101.5</v>
      </c>
      <c r="G14" s="195">
        <v>101.99</v>
      </c>
      <c r="H14" s="195">
        <v>102.78</v>
      </c>
      <c r="I14" s="195">
        <v>102.19</v>
      </c>
      <c r="J14" s="195">
        <v>103.75</v>
      </c>
      <c r="K14" s="192"/>
      <c r="L14" s="192"/>
      <c r="M14" s="194"/>
    </row>
    <row r="15" spans="1:19" ht="33" x14ac:dyDescent="0.25">
      <c r="A15" s="163">
        <v>5</v>
      </c>
      <c r="B15" s="170" t="s">
        <v>94</v>
      </c>
      <c r="C15" s="163" t="s">
        <v>6</v>
      </c>
      <c r="D15" s="192">
        <v>73363919</v>
      </c>
      <c r="E15" s="192">
        <f t="shared" si="0"/>
        <v>62385821</v>
      </c>
      <c r="F15" s="192">
        <f>F17+F18+F19</f>
        <v>8615278</v>
      </c>
      <c r="G15" s="192">
        <f t="shared" ref="G15:J15" si="1">G17+G18+G19</f>
        <v>10102186</v>
      </c>
      <c r="H15" s="192">
        <f t="shared" si="1"/>
        <v>12225357</v>
      </c>
      <c r="I15" s="192">
        <f t="shared" si="1"/>
        <v>14299000</v>
      </c>
      <c r="J15" s="192">
        <f t="shared" si="1"/>
        <v>17144000</v>
      </c>
      <c r="K15" s="192">
        <f>K17+K18+K19</f>
        <v>118000000</v>
      </c>
      <c r="L15" s="192"/>
      <c r="M15" s="194"/>
      <c r="S15" s="197"/>
    </row>
    <row r="16" spans="1:19" s="200" customFormat="1" x14ac:dyDescent="0.25">
      <c r="A16" s="167"/>
      <c r="B16" s="164" t="s">
        <v>15</v>
      </c>
      <c r="C16" s="167" t="s">
        <v>8</v>
      </c>
      <c r="D16" s="198"/>
      <c r="E16" s="199">
        <f>E15/E8%</f>
        <v>60.766988428270864</v>
      </c>
      <c r="F16" s="199">
        <f t="shared" ref="F16:I16" si="2">F15/F8%</f>
        <v>52.779991423145255</v>
      </c>
      <c r="G16" s="199">
        <f t="shared" si="2"/>
        <v>55.87492256637168</v>
      </c>
      <c r="H16" s="199">
        <f t="shared" si="2"/>
        <v>61.187972972972972</v>
      </c>
      <c r="I16" s="199">
        <f t="shared" si="2"/>
        <v>63.749442710655373</v>
      </c>
      <c r="J16" s="199">
        <f>J15/J8*100</f>
        <v>66.318517658891338</v>
      </c>
      <c r="K16" s="199"/>
      <c r="L16" s="198"/>
      <c r="M16" s="194"/>
      <c r="N16" s="184"/>
    </row>
    <row r="17" spans="1:13" ht="33" x14ac:dyDescent="0.25">
      <c r="A17" s="163" t="s">
        <v>10</v>
      </c>
      <c r="B17" s="170" t="s">
        <v>95</v>
      </c>
      <c r="C17" s="163" t="s">
        <v>6</v>
      </c>
      <c r="D17" s="192">
        <f>11835383+5010315+21950605</f>
        <v>38796303</v>
      </c>
      <c r="E17" s="192">
        <f t="shared" si="0"/>
        <v>20236280</v>
      </c>
      <c r="F17" s="192">
        <v>3505102</v>
      </c>
      <c r="G17" s="192">
        <v>3475813</v>
      </c>
      <c r="H17" s="192">
        <v>3836215</v>
      </c>
      <c r="I17" s="192">
        <v>4381000</v>
      </c>
      <c r="J17" s="192">
        <v>5038150</v>
      </c>
      <c r="K17" s="192">
        <v>31383000</v>
      </c>
      <c r="L17" s="192"/>
      <c r="M17" s="201"/>
    </row>
    <row r="18" spans="1:13" ht="33" x14ac:dyDescent="0.25">
      <c r="A18" s="163" t="s">
        <v>10</v>
      </c>
      <c r="B18" s="170" t="s">
        <v>96</v>
      </c>
      <c r="C18" s="163" t="s">
        <v>6</v>
      </c>
      <c r="D18" s="192">
        <f>31944588+159695+2397530</f>
        <v>34501813</v>
      </c>
      <c r="E18" s="192">
        <f t="shared" si="0"/>
        <v>42024756</v>
      </c>
      <c r="F18" s="192">
        <v>5079133</v>
      </c>
      <c r="G18" s="192">
        <v>6607101</v>
      </c>
      <c r="H18" s="192">
        <v>8365072</v>
      </c>
      <c r="I18" s="192">
        <v>9894000</v>
      </c>
      <c r="J18" s="192">
        <v>12079450</v>
      </c>
      <c r="K18" s="192">
        <v>86289000</v>
      </c>
      <c r="L18" s="192"/>
      <c r="M18" s="194"/>
    </row>
    <row r="19" spans="1:13" ht="33" x14ac:dyDescent="0.25">
      <c r="A19" s="163" t="s">
        <v>10</v>
      </c>
      <c r="B19" s="170" t="s">
        <v>16</v>
      </c>
      <c r="C19" s="163" t="s">
        <v>6</v>
      </c>
      <c r="D19" s="192">
        <v>65802</v>
      </c>
      <c r="E19" s="192">
        <f t="shared" si="0"/>
        <v>124785</v>
      </c>
      <c r="F19" s="192">
        <v>31043</v>
      </c>
      <c r="G19" s="192">
        <v>19272</v>
      </c>
      <c r="H19" s="192">
        <v>24070</v>
      </c>
      <c r="I19" s="192">
        <v>24000</v>
      </c>
      <c r="J19" s="192">
        <v>26400</v>
      </c>
      <c r="K19" s="192">
        <v>328000</v>
      </c>
      <c r="L19" s="192"/>
      <c r="M19" s="194"/>
    </row>
    <row r="20" spans="1:13" ht="49.5" x14ac:dyDescent="0.25">
      <c r="A20" s="163">
        <v>6</v>
      </c>
      <c r="B20" s="170" t="s">
        <v>17</v>
      </c>
      <c r="C20" s="163" t="s">
        <v>18</v>
      </c>
      <c r="D20" s="163" t="s">
        <v>103</v>
      </c>
      <c r="E20" s="202">
        <f>SUM(F20:J20)</f>
        <v>817.447</v>
      </c>
      <c r="F20" s="203">
        <v>114.447</v>
      </c>
      <c r="G20" s="204">
        <v>135</v>
      </c>
      <c r="H20" s="204">
        <v>208</v>
      </c>
      <c r="I20" s="204">
        <v>210</v>
      </c>
      <c r="J20" s="204">
        <v>150</v>
      </c>
      <c r="K20" s="163" t="s">
        <v>169</v>
      </c>
      <c r="L20" s="163"/>
      <c r="M20" s="197"/>
    </row>
    <row r="21" spans="1:13" x14ac:dyDescent="0.25">
      <c r="A21" s="163"/>
      <c r="B21" s="164" t="s">
        <v>19</v>
      </c>
      <c r="C21" s="163" t="s">
        <v>8</v>
      </c>
      <c r="D21" s="205" t="s">
        <v>104</v>
      </c>
      <c r="E21" s="192"/>
      <c r="F21" s="206"/>
      <c r="G21" s="206">
        <f>(G20-F20)/F20%</f>
        <v>17.958531023093656</v>
      </c>
      <c r="H21" s="206">
        <f t="shared" ref="H21:J21" si="3">(H20-G20)/G20%</f>
        <v>54.074074074074069</v>
      </c>
      <c r="I21" s="206">
        <f t="shared" si="3"/>
        <v>0.96153846153846145</v>
      </c>
      <c r="J21" s="206">
        <f t="shared" si="3"/>
        <v>-28.571428571428569</v>
      </c>
      <c r="K21" s="167"/>
      <c r="L21" s="167"/>
    </row>
    <row r="22" spans="1:13" ht="49.5" x14ac:dyDescent="0.25">
      <c r="A22" s="163">
        <v>7</v>
      </c>
      <c r="B22" s="170" t="s">
        <v>20</v>
      </c>
      <c r="C22" s="163" t="s">
        <v>18</v>
      </c>
      <c r="D22" s="192"/>
      <c r="E22" s="202">
        <f>SUM(F22:J22)</f>
        <v>37.466000000000001</v>
      </c>
      <c r="F22" s="203">
        <v>3.1560000000000001</v>
      </c>
      <c r="G22" s="203">
        <v>18.260000000000002</v>
      </c>
      <c r="H22" s="203">
        <v>3.85</v>
      </c>
      <c r="I22" s="207">
        <v>6.1</v>
      </c>
      <c r="J22" s="207">
        <v>6.1</v>
      </c>
      <c r="K22" s="163" t="s">
        <v>163</v>
      </c>
      <c r="L22" s="163"/>
    </row>
    <row r="23" spans="1:13" x14ac:dyDescent="0.25">
      <c r="A23" s="163"/>
      <c r="B23" s="164" t="s">
        <v>19</v>
      </c>
      <c r="C23" s="163" t="s">
        <v>8</v>
      </c>
      <c r="D23" s="208" t="s">
        <v>105</v>
      </c>
      <c r="E23" s="192"/>
      <c r="F23" s="206"/>
      <c r="G23" s="206">
        <f>(G22-F22)/F22%</f>
        <v>478.58048162230665</v>
      </c>
      <c r="H23" s="206">
        <f t="shared" ref="H23:J23" si="4">(H22-G22)/G22%</f>
        <v>-78.915662650602414</v>
      </c>
      <c r="I23" s="206">
        <f t="shared" si="4"/>
        <v>58.441558441558428</v>
      </c>
      <c r="J23" s="206">
        <f t="shared" si="4"/>
        <v>0</v>
      </c>
      <c r="K23" s="209"/>
      <c r="L23" s="209"/>
    </row>
    <row r="24" spans="1:13" ht="33" x14ac:dyDescent="0.25">
      <c r="A24" s="163">
        <v>8</v>
      </c>
      <c r="B24" s="170" t="s">
        <v>97</v>
      </c>
      <c r="C24" s="163" t="s">
        <v>21</v>
      </c>
      <c r="D24" s="202">
        <v>580</v>
      </c>
      <c r="E24" s="202">
        <f t="shared" si="0"/>
        <v>2661.248</v>
      </c>
      <c r="F24" s="202">
        <v>507.81799999999998</v>
      </c>
      <c r="G24" s="202">
        <v>520.048</v>
      </c>
      <c r="H24" s="202">
        <v>535</v>
      </c>
      <c r="I24" s="202">
        <v>543.351</v>
      </c>
      <c r="J24" s="202">
        <v>555.03099999999995</v>
      </c>
      <c r="K24" s="210">
        <v>620</v>
      </c>
      <c r="L24" s="210"/>
    </row>
    <row r="25" spans="1:13" ht="66" x14ac:dyDescent="0.25">
      <c r="A25" s="163">
        <v>9</v>
      </c>
      <c r="B25" s="170" t="s">
        <v>175</v>
      </c>
      <c r="C25" s="163" t="s">
        <v>6</v>
      </c>
      <c r="D25" s="195">
        <v>52.5</v>
      </c>
      <c r="E25" s="195">
        <f t="shared" si="0"/>
        <v>192.11099854737438</v>
      </c>
      <c r="F25" s="195">
        <v>32.143405708344297</v>
      </c>
      <c r="G25" s="195">
        <v>34.766021598006297</v>
      </c>
      <c r="H25" s="195">
        <v>37.345794392523402</v>
      </c>
      <c r="I25" s="195">
        <v>41.28</v>
      </c>
      <c r="J25" s="195">
        <f>J8/J24/1000</f>
        <v>46.575776848500361</v>
      </c>
      <c r="K25" s="211" t="s">
        <v>164</v>
      </c>
      <c r="L25" s="212">
        <v>80</v>
      </c>
      <c r="M25" s="213"/>
    </row>
    <row r="26" spans="1:13" ht="49.5" x14ac:dyDescent="0.25">
      <c r="A26" s="163">
        <v>10</v>
      </c>
      <c r="B26" s="170" t="s">
        <v>22</v>
      </c>
      <c r="C26" s="163" t="s">
        <v>23</v>
      </c>
      <c r="D26" s="212">
        <v>30</v>
      </c>
      <c r="E26" s="212">
        <v>23.07</v>
      </c>
      <c r="F26" s="212">
        <v>2.4700000000000002</v>
      </c>
      <c r="G26" s="212">
        <v>4.5</v>
      </c>
      <c r="H26" s="212">
        <v>4.8</v>
      </c>
      <c r="I26" s="212">
        <v>5.5</v>
      </c>
      <c r="J26" s="212">
        <v>5.8</v>
      </c>
      <c r="K26" s="212" t="s">
        <v>165</v>
      </c>
      <c r="L26" s="212"/>
    </row>
    <row r="27" spans="1:13" ht="49.5" x14ac:dyDescent="0.25">
      <c r="A27" s="163">
        <v>11</v>
      </c>
      <c r="B27" s="170" t="s">
        <v>24</v>
      </c>
      <c r="C27" s="163" t="s">
        <v>8</v>
      </c>
      <c r="D27" s="193">
        <v>52</v>
      </c>
      <c r="E27" s="193">
        <v>246</v>
      </c>
      <c r="F27" s="193">
        <v>47.2</v>
      </c>
      <c r="G27" s="193">
        <v>47.9</v>
      </c>
      <c r="H27" s="193">
        <v>49</v>
      </c>
      <c r="I27" s="193">
        <v>50</v>
      </c>
      <c r="J27" s="193">
        <v>52</v>
      </c>
      <c r="K27" s="163" t="s">
        <v>166</v>
      </c>
      <c r="L27" s="193"/>
    </row>
    <row r="28" spans="1:13" ht="33" x14ac:dyDescent="0.25">
      <c r="A28" s="163">
        <v>12</v>
      </c>
      <c r="B28" s="170" t="s">
        <v>25</v>
      </c>
      <c r="C28" s="163" t="s">
        <v>8</v>
      </c>
      <c r="D28" s="193">
        <v>8.42</v>
      </c>
      <c r="E28" s="193">
        <v>26.11</v>
      </c>
      <c r="F28" s="193">
        <v>23.03</v>
      </c>
      <c r="G28" s="193">
        <v>20.3</v>
      </c>
      <c r="H28" s="193">
        <v>17.29</v>
      </c>
      <c r="I28" s="193">
        <v>13.62</v>
      </c>
      <c r="J28" s="193">
        <v>10.119999999999999</v>
      </c>
      <c r="K28" s="163" t="s">
        <v>185</v>
      </c>
      <c r="L28" s="193">
        <v>9.5299999999999994</v>
      </c>
    </row>
    <row r="29" spans="1:13" x14ac:dyDescent="0.25">
      <c r="A29" s="163">
        <v>13</v>
      </c>
      <c r="B29" s="170" t="s">
        <v>26</v>
      </c>
      <c r="C29" s="163" t="s">
        <v>27</v>
      </c>
      <c r="D29" s="209" t="s">
        <v>102</v>
      </c>
      <c r="E29" s="214">
        <v>3.5</v>
      </c>
      <c r="F29" s="193">
        <v>3.08</v>
      </c>
      <c r="G29" s="193">
        <v>4.05</v>
      </c>
      <c r="H29" s="193">
        <v>4.08</v>
      </c>
      <c r="I29" s="193">
        <v>4.01</v>
      </c>
      <c r="J29" s="214">
        <v>3.5</v>
      </c>
      <c r="K29" s="215" t="s">
        <v>102</v>
      </c>
      <c r="L29" s="214" t="s">
        <v>102</v>
      </c>
    </row>
    <row r="30" spans="1:13" ht="49.5" x14ac:dyDescent="0.25">
      <c r="A30" s="163">
        <v>14</v>
      </c>
      <c r="B30" s="170" t="s">
        <v>28</v>
      </c>
      <c r="C30" s="163" t="s">
        <v>8</v>
      </c>
      <c r="D30" s="216">
        <v>29.1</v>
      </c>
      <c r="E30" s="216">
        <v>33</v>
      </c>
      <c r="F30" s="216">
        <v>15.12</v>
      </c>
      <c r="G30" s="216">
        <v>15.11627906976744</v>
      </c>
      <c r="H30" s="216">
        <v>21</v>
      </c>
      <c r="I30" s="216">
        <v>28</v>
      </c>
      <c r="J30" s="216">
        <v>33</v>
      </c>
      <c r="K30" s="224" t="s">
        <v>176</v>
      </c>
      <c r="L30" s="217">
        <v>53</v>
      </c>
    </row>
    <row r="31" spans="1:13" ht="49.5" x14ac:dyDescent="0.25">
      <c r="A31" s="163">
        <v>15</v>
      </c>
      <c r="B31" s="170" t="s">
        <v>29</v>
      </c>
      <c r="C31" s="163" t="s">
        <v>30</v>
      </c>
      <c r="D31" s="192">
        <v>25</v>
      </c>
      <c r="E31" s="204">
        <v>28</v>
      </c>
      <c r="F31" s="204">
        <v>13</v>
      </c>
      <c r="G31" s="204">
        <v>13</v>
      </c>
      <c r="H31" s="204">
        <v>18</v>
      </c>
      <c r="I31" s="204">
        <v>24</v>
      </c>
      <c r="J31" s="204">
        <v>28</v>
      </c>
      <c r="K31" s="163" t="s">
        <v>186</v>
      </c>
      <c r="L31" s="193"/>
    </row>
    <row r="32" spans="1:13" x14ac:dyDescent="0.25">
      <c r="A32" s="218">
        <v>16</v>
      </c>
      <c r="B32" s="269" t="s">
        <v>177</v>
      </c>
      <c r="C32" s="218"/>
      <c r="D32" s="219"/>
      <c r="E32" s="219"/>
      <c r="F32" s="219"/>
      <c r="G32" s="219"/>
      <c r="H32" s="219"/>
      <c r="I32" s="219"/>
      <c r="J32" s="219"/>
      <c r="K32" s="219"/>
      <c r="L32" s="219"/>
    </row>
    <row r="33" spans="1:1" x14ac:dyDescent="0.25">
      <c r="A33" s="200"/>
    </row>
    <row r="34" spans="1:1" x14ac:dyDescent="0.25">
      <c r="A34" s="227" t="s">
        <v>178</v>
      </c>
    </row>
  </sheetData>
  <sheetProtection sheet="1" objects="1" scenarios="1"/>
  <mergeCells count="9">
    <mergeCell ref="L5:L6"/>
    <mergeCell ref="A2:K2"/>
    <mergeCell ref="A5:A6"/>
    <mergeCell ref="B5:B6"/>
    <mergeCell ref="C5:C6"/>
    <mergeCell ref="D5:D6"/>
    <mergeCell ref="E5:J5"/>
    <mergeCell ref="K5:K6"/>
    <mergeCell ref="A3:K3"/>
  </mergeCells>
  <printOptions horizontalCentered="1"/>
  <pageMargins left="0" right="0"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73"/>
  <sheetViews>
    <sheetView tabSelected="1" zoomScale="80" zoomScaleNormal="80" workbookViewId="0">
      <pane xSplit="2" ySplit="7" topLeftCell="C8" activePane="bottomRight" state="frozen"/>
      <selection pane="topRight" activeCell="C1" sqref="C1"/>
      <selection pane="bottomLeft" activeCell="A8" sqref="A8"/>
      <selection pane="bottomRight" activeCell="G16" sqref="G16"/>
    </sheetView>
  </sheetViews>
  <sheetFormatPr defaultColWidth="9.140625" defaultRowHeight="16.5" outlineLevelCol="1" x14ac:dyDescent="0.25"/>
  <cols>
    <col min="1" max="1" width="5.42578125" style="155" customWidth="1"/>
    <col min="2" max="2" width="42.28515625" style="155" customWidth="1"/>
    <col min="3" max="3" width="16.140625" style="155" customWidth="1"/>
    <col min="4" max="4" width="15.5703125" style="155" customWidth="1"/>
    <col min="5" max="5" width="15" style="155" hidden="1" customWidth="1" outlineLevel="1"/>
    <col min="6" max="6" width="15.42578125" style="155" customWidth="1" collapsed="1"/>
    <col min="7" max="7" width="15.140625" style="155" customWidth="1"/>
    <col min="8" max="8" width="15" style="155" customWidth="1"/>
    <col min="9" max="9" width="14.85546875" style="155" customWidth="1"/>
    <col min="10" max="10" width="15.42578125" style="155" customWidth="1"/>
    <col min="11" max="11" width="17.28515625" style="155" customWidth="1"/>
    <col min="12" max="12" width="13.85546875" style="155" hidden="1" customWidth="1"/>
    <col min="13" max="13" width="16.140625" style="155" hidden="1" customWidth="1"/>
    <col min="14" max="14" width="11.5703125" style="155" hidden="1" customWidth="1"/>
    <col min="15" max="15" width="12.140625" style="155" hidden="1" customWidth="1"/>
    <col min="16" max="16" width="12.5703125" style="155" hidden="1" customWidth="1"/>
    <col min="17" max="18" width="9.140625" style="155"/>
    <col min="19" max="19" width="13.140625" style="155" bestFit="1" customWidth="1"/>
    <col min="20" max="16384" width="9.140625" style="155"/>
  </cols>
  <sheetData>
    <row r="1" spans="1:11" x14ac:dyDescent="0.25">
      <c r="K1" s="156" t="s">
        <v>187</v>
      </c>
    </row>
    <row r="2" spans="1:11" ht="19.5" x14ac:dyDescent="0.25">
      <c r="A2" s="231" t="s">
        <v>88</v>
      </c>
      <c r="B2" s="231"/>
      <c r="C2" s="231"/>
      <c r="D2" s="231"/>
      <c r="E2" s="231"/>
      <c r="F2" s="231"/>
      <c r="G2" s="231"/>
      <c r="H2" s="231"/>
      <c r="I2" s="231"/>
      <c r="J2" s="231"/>
      <c r="K2" s="231"/>
    </row>
    <row r="3" spans="1:11" x14ac:dyDescent="0.25">
      <c r="A3" s="235" t="s">
        <v>167</v>
      </c>
      <c r="B3" s="235"/>
      <c r="C3" s="235"/>
      <c r="D3" s="235"/>
      <c r="E3" s="235"/>
      <c r="F3" s="235"/>
      <c r="G3" s="235"/>
      <c r="H3" s="235"/>
      <c r="I3" s="235"/>
      <c r="J3" s="235"/>
      <c r="K3" s="235"/>
    </row>
    <row r="4" spans="1:11" x14ac:dyDescent="0.25">
      <c r="K4" s="157" t="s">
        <v>31</v>
      </c>
    </row>
    <row r="5" spans="1:11" ht="16.5" customHeight="1" x14ac:dyDescent="0.25">
      <c r="A5" s="239" t="s">
        <v>0</v>
      </c>
      <c r="B5" s="239" t="s">
        <v>1</v>
      </c>
      <c r="C5" s="239" t="s">
        <v>92</v>
      </c>
      <c r="D5" s="239" t="s">
        <v>91</v>
      </c>
      <c r="E5" s="239"/>
      <c r="F5" s="239"/>
      <c r="G5" s="239"/>
      <c r="H5" s="239"/>
      <c r="I5" s="239"/>
      <c r="J5" s="239"/>
      <c r="K5" s="239" t="s">
        <v>87</v>
      </c>
    </row>
    <row r="6" spans="1:11" ht="31.5" customHeight="1" x14ac:dyDescent="0.25">
      <c r="A6" s="239"/>
      <c r="B6" s="239"/>
      <c r="C6" s="239"/>
      <c r="D6" s="228" t="s">
        <v>3</v>
      </c>
      <c r="E6" s="228" t="s">
        <v>100</v>
      </c>
      <c r="F6" s="228" t="s">
        <v>90</v>
      </c>
      <c r="G6" s="228" t="s">
        <v>82</v>
      </c>
      <c r="H6" s="228" t="s">
        <v>83</v>
      </c>
      <c r="I6" s="228" t="s">
        <v>84</v>
      </c>
      <c r="J6" s="228" t="s">
        <v>170</v>
      </c>
      <c r="K6" s="239"/>
    </row>
    <row r="7" spans="1:11" x14ac:dyDescent="0.25">
      <c r="A7" s="228" t="s">
        <v>4</v>
      </c>
      <c r="B7" s="228" t="s">
        <v>5</v>
      </c>
      <c r="C7" s="228">
        <v>1</v>
      </c>
      <c r="D7" s="228">
        <v>2</v>
      </c>
      <c r="E7" s="228"/>
      <c r="F7" s="228">
        <v>3</v>
      </c>
      <c r="G7" s="228">
        <v>4</v>
      </c>
      <c r="H7" s="228">
        <v>5</v>
      </c>
      <c r="I7" s="228">
        <v>6</v>
      </c>
      <c r="J7" s="228">
        <v>7</v>
      </c>
      <c r="K7" s="228">
        <v>8</v>
      </c>
    </row>
    <row r="8" spans="1:11" ht="33" x14ac:dyDescent="0.25">
      <c r="A8" s="158" t="s">
        <v>4</v>
      </c>
      <c r="B8" s="159" t="s">
        <v>98</v>
      </c>
      <c r="C8" s="223">
        <v>116381000</v>
      </c>
      <c r="D8" s="160">
        <f>F8+G8+H8+I8+J8</f>
        <v>102664000</v>
      </c>
      <c r="E8" s="223"/>
      <c r="F8" s="223">
        <f>'[1]Bieu 1'!F8</f>
        <v>16323000</v>
      </c>
      <c r="G8" s="223">
        <f>'[1]Bieu 1'!G8</f>
        <v>18080000</v>
      </c>
      <c r="H8" s="223">
        <f>'[1]Bieu 1'!H8</f>
        <v>19980000</v>
      </c>
      <c r="I8" s="223">
        <f>'[1]Bieu 1'!I8</f>
        <v>22430000</v>
      </c>
      <c r="J8" s="223">
        <f>'[1]Bieu 1'!J8</f>
        <v>25851000</v>
      </c>
      <c r="K8" s="267">
        <v>179610000</v>
      </c>
    </row>
    <row r="9" spans="1:11" x14ac:dyDescent="0.25">
      <c r="A9" s="161" t="s">
        <v>5</v>
      </c>
      <c r="B9" s="162" t="s">
        <v>32</v>
      </c>
      <c r="C9" s="160">
        <f t="shared" ref="C9:K9" si="0">C13+C18+C21+C24</f>
        <v>14904000</v>
      </c>
      <c r="D9" s="160">
        <f t="shared" si="0"/>
        <v>13758068</v>
      </c>
      <c r="E9" s="160">
        <f t="shared" si="0"/>
        <v>2066000</v>
      </c>
      <c r="F9" s="160">
        <f t="shared" si="0"/>
        <v>2132387</v>
      </c>
      <c r="G9" s="160">
        <f t="shared" si="0"/>
        <v>2511867</v>
      </c>
      <c r="H9" s="160">
        <f t="shared" si="0"/>
        <v>2869179</v>
      </c>
      <c r="I9" s="160">
        <f t="shared" si="0"/>
        <v>3244635</v>
      </c>
      <c r="J9" s="160">
        <f t="shared" si="0"/>
        <v>3000000</v>
      </c>
      <c r="K9" s="226">
        <f t="shared" si="0"/>
        <v>20000000</v>
      </c>
    </row>
    <row r="10" spans="1:11" x14ac:dyDescent="0.25">
      <c r="A10" s="163"/>
      <c r="B10" s="164" t="s">
        <v>33</v>
      </c>
      <c r="C10" s="165"/>
      <c r="D10" s="165"/>
      <c r="E10" s="165"/>
      <c r="F10" s="151">
        <f>(F9-E9)/E9*100%</f>
        <v>3.2133107454017422E-2</v>
      </c>
      <c r="G10" s="151">
        <f>(G9-F9)/F9*100%</f>
        <v>0.17796019202893285</v>
      </c>
      <c r="H10" s="151">
        <f>(H9-G9)/G9*100%</f>
        <v>0.14224956974234704</v>
      </c>
      <c r="I10" s="151">
        <f>(I9-H9)/H9*100%</f>
        <v>0.13085833961561827</v>
      </c>
      <c r="J10" s="151">
        <f>(J9-I9)/I9*100%</f>
        <v>-7.5396770360918866E-2</v>
      </c>
      <c r="K10" s="151">
        <f>(K9-D9)/D9*100%</f>
        <v>0.45369248065934842</v>
      </c>
    </row>
    <row r="11" spans="1:11" x14ac:dyDescent="0.25">
      <c r="A11" s="163"/>
      <c r="B11" s="164" t="s">
        <v>34</v>
      </c>
      <c r="C11" s="165"/>
      <c r="D11" s="151">
        <f t="shared" ref="D11:K11" si="1">D9/D8</f>
        <v>0.13401063663991272</v>
      </c>
      <c r="E11" s="151" t="e">
        <f t="shared" si="1"/>
        <v>#DIV/0!</v>
      </c>
      <c r="F11" s="151">
        <f t="shared" si="1"/>
        <v>0.13063695399130063</v>
      </c>
      <c r="G11" s="151">
        <f t="shared" si="1"/>
        <v>0.13893069690265486</v>
      </c>
      <c r="H11" s="151">
        <f t="shared" si="1"/>
        <v>0.14360255255255255</v>
      </c>
      <c r="I11" s="151">
        <f t="shared" si="1"/>
        <v>0.14465604101649576</v>
      </c>
      <c r="J11" s="151">
        <f t="shared" si="1"/>
        <v>0.11604966925844261</v>
      </c>
      <c r="K11" s="151">
        <f t="shared" si="1"/>
        <v>0.11135237458938813</v>
      </c>
    </row>
    <row r="12" spans="1:11" x14ac:dyDescent="0.25">
      <c r="A12" s="163"/>
      <c r="B12" s="164" t="s">
        <v>35</v>
      </c>
      <c r="C12" s="165"/>
      <c r="D12" s="165"/>
      <c r="E12" s="165"/>
      <c r="F12" s="165"/>
      <c r="G12" s="165"/>
      <c r="H12" s="165"/>
      <c r="I12" s="165"/>
      <c r="J12" s="165"/>
      <c r="K12" s="225"/>
    </row>
    <row r="13" spans="1:11" s="166" customFormat="1" x14ac:dyDescent="0.25">
      <c r="A13" s="161" t="s">
        <v>50</v>
      </c>
      <c r="B13" s="162" t="s">
        <v>36</v>
      </c>
      <c r="C13" s="160">
        <v>12266000</v>
      </c>
      <c r="D13" s="160">
        <f>SUM(F13:J13)</f>
        <v>12481611</v>
      </c>
      <c r="E13" s="160">
        <f>1680000+61000</f>
        <v>1741000</v>
      </c>
      <c r="F13" s="160">
        <f>1891081+93608</f>
        <v>1984689</v>
      </c>
      <c r="G13" s="160">
        <v>2172764</v>
      </c>
      <c r="H13" s="160">
        <v>2585280</v>
      </c>
      <c r="I13" s="160">
        <v>2984878</v>
      </c>
      <c r="J13" s="160">
        <v>2754000</v>
      </c>
      <c r="K13" s="226">
        <f>18229*1000</f>
        <v>18229000</v>
      </c>
    </row>
    <row r="14" spans="1:11" x14ac:dyDescent="0.25">
      <c r="A14" s="163"/>
      <c r="B14" s="164" t="s">
        <v>37</v>
      </c>
      <c r="C14" s="165"/>
      <c r="D14" s="165"/>
      <c r="E14" s="151"/>
      <c r="F14" s="151">
        <f>(F13-E13)/E13*100%</f>
        <v>0.13997070649052268</v>
      </c>
      <c r="G14" s="151">
        <f>(G13-F13)/F13*100%</f>
        <v>9.476295782361871E-2</v>
      </c>
      <c r="H14" s="151">
        <f>(H13-G13)/G13*100%</f>
        <v>0.18985771119182757</v>
      </c>
      <c r="I14" s="151">
        <f>(I13-H13)/H13*100%</f>
        <v>0.15456662334447333</v>
      </c>
      <c r="J14" s="151">
        <f>(J13-I13)/I13*100%</f>
        <v>-7.7349224993450316E-2</v>
      </c>
      <c r="K14" s="151">
        <f>(K13-D13)/D13*100%</f>
        <v>0.46046852445569725</v>
      </c>
    </row>
    <row r="15" spans="1:11" ht="33" x14ac:dyDescent="0.25">
      <c r="A15" s="163"/>
      <c r="B15" s="164" t="s">
        <v>38</v>
      </c>
      <c r="C15" s="165"/>
      <c r="D15" s="151">
        <f t="shared" ref="D15:K15" si="2">D13/D9</f>
        <v>0.90722120286075048</v>
      </c>
      <c r="E15" s="151">
        <f t="shared" si="2"/>
        <v>0.84269119070667953</v>
      </c>
      <c r="F15" s="151">
        <f t="shared" si="2"/>
        <v>0.93073583735034959</v>
      </c>
      <c r="G15" s="151">
        <f t="shared" si="2"/>
        <v>0.86499961980471096</v>
      </c>
      <c r="H15" s="151">
        <f t="shared" si="2"/>
        <v>0.90105218252329322</v>
      </c>
      <c r="I15" s="151">
        <f t="shared" si="2"/>
        <v>0.91994261295954705</v>
      </c>
      <c r="J15" s="151">
        <f t="shared" si="2"/>
        <v>0.91800000000000004</v>
      </c>
      <c r="K15" s="151">
        <f t="shared" si="2"/>
        <v>0.91144999999999998</v>
      </c>
    </row>
    <row r="16" spans="1:11" s="169" customFormat="1" ht="27" customHeight="1" x14ac:dyDescent="0.25">
      <c r="A16" s="167"/>
      <c r="B16" s="164" t="s">
        <v>39</v>
      </c>
      <c r="C16" s="168"/>
      <c r="D16" s="168">
        <f>SUM(F16:J16)</f>
        <v>2454823</v>
      </c>
      <c r="E16" s="168"/>
      <c r="F16" s="168">
        <v>288495</v>
      </c>
      <c r="G16" s="168">
        <v>238637</v>
      </c>
      <c r="H16" s="168">
        <v>449670</v>
      </c>
      <c r="I16" s="168">
        <v>799021</v>
      </c>
      <c r="J16" s="168">
        <v>679000</v>
      </c>
      <c r="K16" s="268">
        <f>4978*1000</f>
        <v>4978000</v>
      </c>
    </row>
    <row r="17" spans="1:19" s="169" customFormat="1" x14ac:dyDescent="0.25">
      <c r="A17" s="167"/>
      <c r="B17" s="164" t="s">
        <v>40</v>
      </c>
      <c r="C17" s="168"/>
      <c r="D17" s="168">
        <f>SUM(F17:J17)</f>
        <v>439173</v>
      </c>
      <c r="E17" s="168"/>
      <c r="F17" s="168">
        <v>93608</v>
      </c>
      <c r="G17" s="168">
        <v>72781</v>
      </c>
      <c r="H17" s="168">
        <v>80065</v>
      </c>
      <c r="I17" s="168">
        <v>102719</v>
      </c>
      <c r="J17" s="168">
        <v>90000</v>
      </c>
      <c r="K17" s="268">
        <f>486*1000</f>
        <v>486000</v>
      </c>
    </row>
    <row r="18" spans="1:19" x14ac:dyDescent="0.25">
      <c r="A18" s="161" t="s">
        <v>41</v>
      </c>
      <c r="B18" s="162" t="s">
        <v>42</v>
      </c>
      <c r="C18" s="165"/>
      <c r="D18" s="165"/>
      <c r="E18" s="165"/>
      <c r="F18" s="165"/>
      <c r="G18" s="165"/>
      <c r="H18" s="165"/>
      <c r="I18" s="165"/>
      <c r="J18" s="165"/>
      <c r="K18" s="225"/>
    </row>
    <row r="19" spans="1:19" x14ac:dyDescent="0.25">
      <c r="A19" s="163"/>
      <c r="B19" s="164" t="s">
        <v>37</v>
      </c>
      <c r="C19" s="165"/>
      <c r="D19" s="165"/>
      <c r="E19" s="165"/>
      <c r="F19" s="165"/>
      <c r="G19" s="165"/>
      <c r="H19" s="165"/>
      <c r="I19" s="165"/>
      <c r="J19" s="165"/>
      <c r="K19" s="225"/>
    </row>
    <row r="20" spans="1:19" ht="33" x14ac:dyDescent="0.25">
      <c r="A20" s="163"/>
      <c r="B20" s="164" t="s">
        <v>38</v>
      </c>
      <c r="C20" s="165"/>
      <c r="D20" s="165"/>
      <c r="E20" s="165"/>
      <c r="F20" s="165"/>
      <c r="G20" s="165"/>
      <c r="H20" s="165"/>
      <c r="I20" s="165"/>
      <c r="J20" s="165"/>
      <c r="K20" s="225"/>
    </row>
    <row r="21" spans="1:19" ht="33" x14ac:dyDescent="0.25">
      <c r="A21" s="161" t="s">
        <v>43</v>
      </c>
      <c r="B21" s="162" t="s">
        <v>44</v>
      </c>
      <c r="C21" s="160">
        <v>2053000</v>
      </c>
      <c r="D21" s="160">
        <f>SUM(F21:J21)</f>
        <v>1186775</v>
      </c>
      <c r="E21" s="160">
        <v>306000</v>
      </c>
      <c r="F21" s="160">
        <v>108453</v>
      </c>
      <c r="G21" s="160">
        <v>295169</v>
      </c>
      <c r="H21" s="160">
        <v>280900</v>
      </c>
      <c r="I21" s="160">
        <v>256253</v>
      </c>
      <c r="J21" s="160">
        <v>246000</v>
      </c>
      <c r="K21" s="226">
        <v>1621000</v>
      </c>
    </row>
    <row r="22" spans="1:19" x14ac:dyDescent="0.25">
      <c r="A22" s="163"/>
      <c r="B22" s="164" t="s">
        <v>37</v>
      </c>
      <c r="C22" s="165"/>
      <c r="D22" s="165"/>
      <c r="E22" s="165"/>
      <c r="F22" s="151">
        <f>(F21-E21)/E21*100%</f>
        <v>-0.645578431372549</v>
      </c>
      <c r="G22" s="151">
        <f>(G21-F21)/F21*100%</f>
        <v>1.7216305680801822</v>
      </c>
      <c r="H22" s="151">
        <f>(H21-G21)/G21*100%</f>
        <v>-4.8341797410974732E-2</v>
      </c>
      <c r="I22" s="151">
        <f>(I21-H21)/H21*100%</f>
        <v>-8.7742969028123882E-2</v>
      </c>
      <c r="J22" s="151">
        <f>(J21-I21)/I21*100%</f>
        <v>-4.001123889281296E-2</v>
      </c>
      <c r="K22" s="151">
        <f>(K21-D21)/D21*100%</f>
        <v>0.36588654125676728</v>
      </c>
    </row>
    <row r="23" spans="1:19" ht="33" x14ac:dyDescent="0.25">
      <c r="A23" s="163"/>
      <c r="B23" s="164" t="s">
        <v>38</v>
      </c>
      <c r="C23" s="165"/>
      <c r="D23" s="151">
        <f t="shared" ref="D23:K23" si="3">D21/D9</f>
        <v>8.6260294686724914E-2</v>
      </c>
      <c r="E23" s="151">
        <f t="shared" si="3"/>
        <v>0.14811229428848016</v>
      </c>
      <c r="F23" s="151">
        <f t="shared" si="3"/>
        <v>5.0859904885932991E-2</v>
      </c>
      <c r="G23" s="151">
        <f t="shared" si="3"/>
        <v>0.11750980446018838</v>
      </c>
      <c r="H23" s="151">
        <f t="shared" si="3"/>
        <v>9.7902570735391548E-2</v>
      </c>
      <c r="I23" s="151">
        <f t="shared" si="3"/>
        <v>7.8977450468234484E-2</v>
      </c>
      <c r="J23" s="151">
        <f t="shared" si="3"/>
        <v>8.2000000000000003E-2</v>
      </c>
      <c r="K23" s="151">
        <f t="shared" si="3"/>
        <v>8.1049999999999997E-2</v>
      </c>
    </row>
    <row r="24" spans="1:19" ht="33" x14ac:dyDescent="0.25">
      <c r="A24" s="161" t="s">
        <v>45</v>
      </c>
      <c r="B24" s="162" t="s">
        <v>179</v>
      </c>
      <c r="C24" s="160">
        <f>429000+155000+1000</f>
        <v>585000</v>
      </c>
      <c r="D24" s="160">
        <f>SUM(F24:J24)</f>
        <v>89682</v>
      </c>
      <c r="E24" s="160">
        <v>19000</v>
      </c>
      <c r="F24" s="160">
        <f>26702+12543</f>
        <v>39245</v>
      </c>
      <c r="G24" s="160">
        <v>43934</v>
      </c>
      <c r="H24" s="160">
        <v>2999</v>
      </c>
      <c r="I24" s="160">
        <v>3504</v>
      </c>
      <c r="J24" s="160">
        <v>0</v>
      </c>
      <c r="K24" s="226">
        <v>150000</v>
      </c>
    </row>
    <row r="25" spans="1:19" x14ac:dyDescent="0.25">
      <c r="A25" s="163"/>
      <c r="B25" s="164" t="s">
        <v>37</v>
      </c>
      <c r="C25" s="165"/>
      <c r="D25" s="165"/>
      <c r="E25" s="165"/>
      <c r="F25" s="151">
        <f>(F24-E24)/E24*100%</f>
        <v>1.0655263157894737</v>
      </c>
      <c r="G25" s="151">
        <f>(G24-F24)/F24*100%</f>
        <v>0.11948018855905211</v>
      </c>
      <c r="H25" s="151">
        <f>(H24-G24)/G24*100%</f>
        <v>-0.93173851686620845</v>
      </c>
      <c r="I25" s="151">
        <f>(I24-H24)/H24*100%</f>
        <v>0.1683894631543848</v>
      </c>
      <c r="J25" s="165"/>
      <c r="K25" s="151">
        <f>(K24-D24)/D24*100%</f>
        <v>0.67257643674315915</v>
      </c>
    </row>
    <row r="26" spans="1:19" ht="33" x14ac:dyDescent="0.25">
      <c r="A26" s="163"/>
      <c r="B26" s="164" t="s">
        <v>38</v>
      </c>
      <c r="C26" s="165"/>
      <c r="D26" s="151">
        <f t="shared" ref="D26:K26" si="4">D24/D9</f>
        <v>6.5185024525245844E-3</v>
      </c>
      <c r="E26" s="151">
        <f t="shared" si="4"/>
        <v>9.1965150048402711E-3</v>
      </c>
      <c r="F26" s="151">
        <f t="shared" si="4"/>
        <v>1.8404257763717374E-2</v>
      </c>
      <c r="G26" s="151">
        <f t="shared" si="4"/>
        <v>1.7490575735100624E-2</v>
      </c>
      <c r="H26" s="151">
        <f t="shared" si="4"/>
        <v>1.0452467413151986E-3</v>
      </c>
      <c r="I26" s="151">
        <f t="shared" si="4"/>
        <v>1.0799365722184468E-3</v>
      </c>
      <c r="J26" s="151">
        <f t="shared" si="4"/>
        <v>0</v>
      </c>
      <c r="K26" s="151">
        <f t="shared" si="4"/>
        <v>7.4999999999999997E-3</v>
      </c>
    </row>
    <row r="27" spans="1:19" x14ac:dyDescent="0.25">
      <c r="A27" s="161" t="s">
        <v>46</v>
      </c>
      <c r="B27" s="162" t="s">
        <v>47</v>
      </c>
      <c r="C27" s="160">
        <f>C30+C33</f>
        <v>32262869</v>
      </c>
      <c r="D27" s="160">
        <f>SUM(F27:J27)</f>
        <v>35241135</v>
      </c>
      <c r="E27" s="160">
        <v>9016192.3685400002</v>
      </c>
      <c r="F27" s="160">
        <f t="shared" ref="F27:P27" si="5">F30+F33</f>
        <v>5192102</v>
      </c>
      <c r="G27" s="160">
        <f t="shared" si="5"/>
        <v>6692671</v>
      </c>
      <c r="H27" s="160">
        <f t="shared" si="5"/>
        <v>7445542</v>
      </c>
      <c r="I27" s="160">
        <f t="shared" si="5"/>
        <v>7964120</v>
      </c>
      <c r="J27" s="160">
        <f t="shared" si="5"/>
        <v>7946700</v>
      </c>
      <c r="K27" s="226">
        <f t="shared" si="5"/>
        <v>44372000</v>
      </c>
      <c r="L27" s="160">
        <f t="shared" si="5"/>
        <v>4918081</v>
      </c>
      <c r="M27" s="160">
        <f t="shared" si="5"/>
        <v>5318534</v>
      </c>
      <c r="N27" s="160">
        <f t="shared" si="5"/>
        <v>6801211</v>
      </c>
      <c r="O27" s="160">
        <f t="shared" si="5"/>
        <v>6963296</v>
      </c>
      <c r="P27" s="160">
        <f t="shared" si="5"/>
        <v>8261747</v>
      </c>
    </row>
    <row r="28" spans="1:19" x14ac:dyDescent="0.25">
      <c r="A28" s="163"/>
      <c r="B28" s="164" t="s">
        <v>48</v>
      </c>
      <c r="C28" s="165"/>
      <c r="D28" s="165"/>
      <c r="E28" s="165"/>
      <c r="F28" s="151">
        <f>(F27-E27)/E27*100%</f>
        <v>-0.42413584495860068</v>
      </c>
      <c r="G28" s="151">
        <f>(G27-F27)/F27*100%</f>
        <v>0.28900992314865925</v>
      </c>
      <c r="H28" s="151">
        <f>(H27-G27)/G27*100%</f>
        <v>0.11249185863162854</v>
      </c>
      <c r="I28" s="151">
        <f>(I27-H27)/H27*100%</f>
        <v>6.964946272548056E-2</v>
      </c>
      <c r="J28" s="151">
        <f>(J27-I27)/I27*100%</f>
        <v>-2.1873100857345193E-3</v>
      </c>
      <c r="K28" s="151">
        <f>(K27-D27)/D27*100%</f>
        <v>0.25909679129233493</v>
      </c>
      <c r="L28" s="165"/>
    </row>
    <row r="29" spans="1:19" x14ac:dyDescent="0.25">
      <c r="A29" s="163"/>
      <c r="B29" s="164" t="s">
        <v>49</v>
      </c>
      <c r="C29" s="165"/>
      <c r="D29" s="151">
        <f t="shared" ref="D29:K29" si="6">D27/D8</f>
        <v>0.34326672446037559</v>
      </c>
      <c r="E29" s="151" t="e">
        <f t="shared" si="6"/>
        <v>#DIV/0!</v>
      </c>
      <c r="F29" s="151">
        <f t="shared" si="6"/>
        <v>0.31808503338847027</v>
      </c>
      <c r="G29" s="151">
        <f t="shared" si="6"/>
        <v>0.37016985619469028</v>
      </c>
      <c r="H29" s="151">
        <f t="shared" si="6"/>
        <v>0.37264974974974974</v>
      </c>
      <c r="I29" s="151">
        <f t="shared" si="6"/>
        <v>0.35506553722692824</v>
      </c>
      <c r="J29" s="151">
        <f t="shared" si="6"/>
        <v>0.30740396889868865</v>
      </c>
      <c r="K29" s="151">
        <f t="shared" si="6"/>
        <v>0.24704637826401649</v>
      </c>
      <c r="L29" s="165"/>
    </row>
    <row r="30" spans="1:19" x14ac:dyDescent="0.25">
      <c r="A30" s="161" t="s">
        <v>50</v>
      </c>
      <c r="B30" s="162" t="s">
        <v>51</v>
      </c>
      <c r="C30" s="160">
        <v>10573015</v>
      </c>
      <c r="D30" s="160">
        <f>SUM(F30:J30)</f>
        <v>11891614</v>
      </c>
      <c r="E30" s="160">
        <f>862580.311764+761952.217804</f>
        <v>1624532.529568</v>
      </c>
      <c r="F30" s="160">
        <f>1089127+780420+39246+93608</f>
        <v>2002401</v>
      </c>
      <c r="G30" s="160">
        <f>2033692+43934</f>
        <v>2077626</v>
      </c>
      <c r="H30" s="160">
        <v>2388799</v>
      </c>
      <c r="I30" s="160">
        <v>2744685</v>
      </c>
      <c r="J30" s="160">
        <f>2578103+100000</f>
        <v>2678103</v>
      </c>
      <c r="K30" s="226">
        <f>16358*1000</f>
        <v>16358000</v>
      </c>
      <c r="L30" s="160">
        <f>1998500+98000+56760</f>
        <v>2153260</v>
      </c>
      <c r="M30" s="155">
        <f>1604785+31000</f>
        <v>1635785</v>
      </c>
      <c r="N30" s="155">
        <f>1784000+20000</f>
        <v>1804000</v>
      </c>
      <c r="O30" s="155">
        <f>1986820</f>
        <v>1986820</v>
      </c>
      <c r="P30" s="155">
        <f>2993150</f>
        <v>2993150</v>
      </c>
      <c r="S30" s="221"/>
    </row>
    <row r="31" spans="1:19" x14ac:dyDescent="0.25">
      <c r="A31" s="163"/>
      <c r="B31" s="164" t="s">
        <v>52</v>
      </c>
      <c r="C31" s="165"/>
      <c r="D31" s="165"/>
      <c r="E31" s="165"/>
      <c r="F31" s="151">
        <f>(F30-E30)/E30*100%</f>
        <v>0.23260135673151697</v>
      </c>
      <c r="G31" s="151">
        <f>(G30-F30)/F30*100%</f>
        <v>3.7567400335896756E-2</v>
      </c>
      <c r="H31" s="151">
        <f>(H30-G30)/G30*100%</f>
        <v>0.14977334707979204</v>
      </c>
      <c r="I31" s="151">
        <f>(I30-H30)/H30*100%</f>
        <v>0.14898114073222568</v>
      </c>
      <c r="J31" s="151">
        <f>(J30-I30)/I30*100%</f>
        <v>-2.4258521469676848E-2</v>
      </c>
      <c r="K31" s="151">
        <f>(K30-D30)/D30*100%</f>
        <v>0.37559123597520067</v>
      </c>
      <c r="L31" s="165"/>
    </row>
    <row r="32" spans="1:19" x14ac:dyDescent="0.25">
      <c r="A32" s="163"/>
      <c r="B32" s="164" t="s">
        <v>53</v>
      </c>
      <c r="C32" s="165"/>
      <c r="D32" s="151">
        <f t="shared" ref="D32:K32" si="7">D30/D27</f>
        <v>0.33743561324003896</v>
      </c>
      <c r="E32" s="151">
        <f t="shared" si="7"/>
        <v>0.18017944417828144</v>
      </c>
      <c r="F32" s="151">
        <f t="shared" si="7"/>
        <v>0.38566287796349147</v>
      </c>
      <c r="G32" s="151">
        <f t="shared" si="7"/>
        <v>0.31043300948156571</v>
      </c>
      <c r="H32" s="151">
        <f t="shared" si="7"/>
        <v>0.32083614597835858</v>
      </c>
      <c r="I32" s="151">
        <f t="shared" si="7"/>
        <v>0.34463129636419343</v>
      </c>
      <c r="J32" s="151">
        <f t="shared" si="7"/>
        <v>0.33700819207973121</v>
      </c>
      <c r="K32" s="151">
        <f t="shared" si="7"/>
        <v>0.36865590913188495</v>
      </c>
      <c r="L32" s="165"/>
    </row>
    <row r="33" spans="1:16" x14ac:dyDescent="0.25">
      <c r="A33" s="161" t="s">
        <v>41</v>
      </c>
      <c r="B33" s="162" t="s">
        <v>54</v>
      </c>
      <c r="C33" s="160">
        <v>21689854</v>
      </c>
      <c r="D33" s="160">
        <f>SUM(F33:J33)</f>
        <v>23349521</v>
      </c>
      <c r="E33" s="160">
        <f t="shared" ref="E33:J33" si="8">E36+E37</f>
        <v>5918424.2439699993</v>
      </c>
      <c r="F33" s="160">
        <f t="shared" si="8"/>
        <v>3189701</v>
      </c>
      <c r="G33" s="160">
        <f t="shared" si="8"/>
        <v>4615045</v>
      </c>
      <c r="H33" s="160">
        <f t="shared" si="8"/>
        <v>5056743</v>
      </c>
      <c r="I33" s="160">
        <f t="shared" si="8"/>
        <v>5219435</v>
      </c>
      <c r="J33" s="160">
        <f t="shared" si="8"/>
        <v>5268597</v>
      </c>
      <c r="K33" s="226">
        <f>K38-K30</f>
        <v>28014000</v>
      </c>
      <c r="L33" s="160">
        <f>1325980+339345+1099496</f>
        <v>2764821</v>
      </c>
      <c r="M33" s="155">
        <f>2999986+682763</f>
        <v>3682749</v>
      </c>
      <c r="N33" s="155">
        <f>3030369+1966842</f>
        <v>4997211</v>
      </c>
      <c r="O33" s="155">
        <f>3116511+1859965</f>
        <v>4976476</v>
      </c>
      <c r="P33" s="155">
        <f>3120986+164837+1982774</f>
        <v>5268597</v>
      </c>
    </row>
    <row r="34" spans="1:16" x14ac:dyDescent="0.25">
      <c r="A34" s="163"/>
      <c r="B34" s="164" t="s">
        <v>52</v>
      </c>
      <c r="C34" s="165"/>
      <c r="D34" s="165"/>
      <c r="E34" s="165"/>
      <c r="F34" s="151">
        <f>(F33-E33)/E33*100%</f>
        <v>-0.46105570190412853</v>
      </c>
      <c r="G34" s="151">
        <f>(G33-F33)/F33*100%</f>
        <v>0.44685818514023729</v>
      </c>
      <c r="H34" s="151">
        <f>(H33-G33)/G33*100%</f>
        <v>9.5708275867299242E-2</v>
      </c>
      <c r="I34" s="151">
        <f>(I33-H33)/H33*100%</f>
        <v>3.217327833350439E-2</v>
      </c>
      <c r="J34" s="151">
        <f>(J33-I33)/I33*100%</f>
        <v>9.4190271552380671E-3</v>
      </c>
      <c r="K34" s="151">
        <f>(K33-D33)/D33*100%</f>
        <v>0.19976765262122509</v>
      </c>
    </row>
    <row r="35" spans="1:16" x14ac:dyDescent="0.25">
      <c r="A35" s="163"/>
      <c r="B35" s="164" t="s">
        <v>53</v>
      </c>
      <c r="C35" s="165"/>
      <c r="D35" s="151">
        <f t="shared" ref="D35:K35" si="9">D33/D27</f>
        <v>0.6625643867599611</v>
      </c>
      <c r="E35" s="151">
        <f t="shared" si="9"/>
        <v>0.65642169133624806</v>
      </c>
      <c r="F35" s="151">
        <f t="shared" si="9"/>
        <v>0.61433712203650848</v>
      </c>
      <c r="G35" s="151">
        <f t="shared" si="9"/>
        <v>0.68956699051843429</v>
      </c>
      <c r="H35" s="151">
        <f t="shared" si="9"/>
        <v>0.67916385402164137</v>
      </c>
      <c r="I35" s="151">
        <f t="shared" si="9"/>
        <v>0.65536870363580657</v>
      </c>
      <c r="J35" s="151">
        <f t="shared" si="9"/>
        <v>0.66299180792026879</v>
      </c>
      <c r="K35" s="151">
        <f t="shared" si="9"/>
        <v>0.63134409086811505</v>
      </c>
    </row>
    <row r="36" spans="1:16" x14ac:dyDescent="0.25">
      <c r="A36" s="163" t="s">
        <v>10</v>
      </c>
      <c r="B36" s="170" t="s">
        <v>55</v>
      </c>
      <c r="C36" s="165"/>
      <c r="D36" s="165">
        <f>SUM(F36:J36)</f>
        <v>14098014</v>
      </c>
      <c r="E36" s="165">
        <v>3634792.5722269998</v>
      </c>
      <c r="F36" s="165">
        <v>1665325</v>
      </c>
      <c r="G36" s="165">
        <v>2999986</v>
      </c>
      <c r="H36" s="165">
        <v>3030369</v>
      </c>
      <c r="I36" s="165">
        <v>3116511</v>
      </c>
      <c r="J36" s="165">
        <v>3285823</v>
      </c>
      <c r="K36" s="225"/>
    </row>
    <row r="37" spans="1:16" x14ac:dyDescent="0.25">
      <c r="A37" s="163" t="s">
        <v>56</v>
      </c>
      <c r="B37" s="170" t="s">
        <v>57</v>
      </c>
      <c r="C37" s="165"/>
      <c r="D37" s="165">
        <f>SUM(F37:J37)</f>
        <v>9251507</v>
      </c>
      <c r="E37" s="165">
        <v>2283631.6717429999</v>
      </c>
      <c r="F37" s="165">
        <v>1524376</v>
      </c>
      <c r="G37" s="165">
        <v>1615059</v>
      </c>
      <c r="H37" s="165">
        <v>2026374</v>
      </c>
      <c r="I37" s="165">
        <v>2102924</v>
      </c>
      <c r="J37" s="165">
        <v>1982774</v>
      </c>
      <c r="K37" s="225"/>
    </row>
    <row r="38" spans="1:16" x14ac:dyDescent="0.25">
      <c r="A38" s="161" t="s">
        <v>58</v>
      </c>
      <c r="B38" s="162" t="s">
        <v>59</v>
      </c>
      <c r="C38" s="160">
        <f t="shared" ref="C38:K38" si="10">C42+C45+C48+C52+C51</f>
        <v>30008000</v>
      </c>
      <c r="D38" s="160">
        <f t="shared" si="10"/>
        <v>33371756.148747001</v>
      </c>
      <c r="E38" s="160">
        <f t="shared" si="10"/>
        <v>5164000</v>
      </c>
      <c r="F38" s="160">
        <f t="shared" si="10"/>
        <v>5159857</v>
      </c>
      <c r="G38" s="160">
        <f t="shared" si="10"/>
        <v>6360801</v>
      </c>
      <c r="H38" s="160">
        <f t="shared" si="10"/>
        <v>6455510</v>
      </c>
      <c r="I38" s="160">
        <f t="shared" si="10"/>
        <v>7552888.1487469999</v>
      </c>
      <c r="J38" s="160">
        <f t="shared" si="10"/>
        <v>7842700</v>
      </c>
      <c r="K38" s="226">
        <f t="shared" si="10"/>
        <v>44372000</v>
      </c>
    </row>
    <row r="39" spans="1:16" s="169" customFormat="1" ht="33" x14ac:dyDescent="0.25">
      <c r="A39" s="167"/>
      <c r="B39" s="164" t="s">
        <v>107</v>
      </c>
      <c r="C39" s="168"/>
      <c r="D39" s="168"/>
      <c r="E39" s="168"/>
      <c r="F39" s="171">
        <v>121050</v>
      </c>
      <c r="G39" s="171"/>
      <c r="H39" s="171"/>
      <c r="I39" s="171"/>
      <c r="J39" s="171"/>
      <c r="K39" s="151">
        <f>(K38-D38)/D38*100%</f>
        <v>0.32962735920225228</v>
      </c>
    </row>
    <row r="40" spans="1:16" x14ac:dyDescent="0.25">
      <c r="A40" s="163"/>
      <c r="B40" s="164" t="s">
        <v>106</v>
      </c>
      <c r="C40" s="154"/>
      <c r="D40" s="154"/>
      <c r="E40" s="154">
        <f t="shared" ref="E40:J40" si="11">(E38-D38)/D38*100%</f>
        <v>-0.8452583682745779</v>
      </c>
      <c r="F40" s="154">
        <f t="shared" si="11"/>
        <v>-8.0228505034856702E-4</v>
      </c>
      <c r="G40" s="154">
        <f t="shared" si="11"/>
        <v>0.23274753544526525</v>
      </c>
      <c r="H40" s="154">
        <f t="shared" si="11"/>
        <v>1.4889476969960231E-2</v>
      </c>
      <c r="I40" s="154">
        <f t="shared" si="11"/>
        <v>0.16999093003449764</v>
      </c>
      <c r="J40" s="154">
        <f t="shared" si="11"/>
        <v>3.8370997364905894E-2</v>
      </c>
      <c r="K40" s="151">
        <f>(K38-D38)/D38*100%</f>
        <v>0.32962735920225228</v>
      </c>
    </row>
    <row r="41" spans="1:16" x14ac:dyDescent="0.25">
      <c r="A41" s="163"/>
      <c r="B41" s="164" t="s">
        <v>60</v>
      </c>
      <c r="C41" s="154">
        <f t="shared" ref="C41:K41" si="12">C38/C8*100%</f>
        <v>0.25784277502341446</v>
      </c>
      <c r="D41" s="154">
        <f t="shared" si="12"/>
        <v>0.32505801594275502</v>
      </c>
      <c r="E41" s="154" t="e">
        <f t="shared" si="12"/>
        <v>#DIV/0!</v>
      </c>
      <c r="F41" s="154">
        <f t="shared" si="12"/>
        <v>0.31610959995098942</v>
      </c>
      <c r="G41" s="154">
        <f t="shared" si="12"/>
        <v>0.35181421460176993</v>
      </c>
      <c r="H41" s="154">
        <f t="shared" si="12"/>
        <v>0.32309859859859857</v>
      </c>
      <c r="I41" s="154">
        <f t="shared" si="12"/>
        <v>0.33673152691694158</v>
      </c>
      <c r="J41" s="154">
        <f t="shared" si="12"/>
        <v>0.30338091369772929</v>
      </c>
      <c r="K41" s="154">
        <f t="shared" si="12"/>
        <v>0.24704637826401649</v>
      </c>
    </row>
    <row r="42" spans="1:16" x14ac:dyDescent="0.25">
      <c r="A42" s="161" t="s">
        <v>50</v>
      </c>
      <c r="B42" s="162" t="s">
        <v>61</v>
      </c>
      <c r="C42" s="160">
        <v>7412000</v>
      </c>
      <c r="D42" s="160">
        <f>SUM(F42:J42)</f>
        <v>10521287</v>
      </c>
      <c r="E42" s="160">
        <v>1278000</v>
      </c>
      <c r="F42" s="160">
        <v>1385544</v>
      </c>
      <c r="G42" s="160">
        <f>1954935+47000</f>
        <v>2001935</v>
      </c>
      <c r="H42" s="160">
        <f>1916186+38500</f>
        <v>1954686</v>
      </c>
      <c r="I42" s="160">
        <v>2636122</v>
      </c>
      <c r="J42" s="160">
        <v>2543000</v>
      </c>
      <c r="K42" s="226">
        <v>15443000</v>
      </c>
    </row>
    <row r="43" spans="1:16" x14ac:dyDescent="0.25">
      <c r="A43" s="163"/>
      <c r="B43" s="164" t="s">
        <v>52</v>
      </c>
      <c r="C43" s="165"/>
      <c r="D43" s="165"/>
      <c r="E43" s="165"/>
      <c r="F43" s="154">
        <f>(F42-E42)/E42*100%</f>
        <v>8.4150234741784041E-2</v>
      </c>
      <c r="G43" s="154">
        <f>(G42-F42)/F42*100%</f>
        <v>0.44487291634188447</v>
      </c>
      <c r="H43" s="154">
        <f>(H42-G42)/G42*100%</f>
        <v>-2.3601665388736398E-2</v>
      </c>
      <c r="I43" s="154">
        <f>(I42-H42)/H42*100%</f>
        <v>0.34861660645239184</v>
      </c>
      <c r="J43" s="154">
        <f>(J42-I42)/I42*100%</f>
        <v>-3.5325375684433419E-2</v>
      </c>
      <c r="K43" s="151">
        <f>(K42-D42)/D42*100%</f>
        <v>0.46778621284639416</v>
      </c>
    </row>
    <row r="44" spans="1:16" x14ac:dyDescent="0.25">
      <c r="A44" s="163"/>
      <c r="B44" s="164" t="s">
        <v>62</v>
      </c>
      <c r="C44" s="165"/>
      <c r="D44" s="154">
        <f t="shared" ref="D44:K44" si="13">D42/D38*100%</f>
        <v>0.31527519717882868</v>
      </c>
      <c r="E44" s="154">
        <f t="shared" si="13"/>
        <v>0.2474825716498838</v>
      </c>
      <c r="F44" s="154">
        <f t="shared" si="13"/>
        <v>0.26852372071551595</v>
      </c>
      <c r="G44" s="154">
        <f t="shared" si="13"/>
        <v>0.31473001592095085</v>
      </c>
      <c r="H44" s="154">
        <f t="shared" si="13"/>
        <v>0.30279342763004008</v>
      </c>
      <c r="I44" s="154">
        <f t="shared" si="13"/>
        <v>0.3490217183260319</v>
      </c>
      <c r="J44" s="154">
        <f t="shared" si="13"/>
        <v>0.32425057696966608</v>
      </c>
      <c r="K44" s="154">
        <f t="shared" si="13"/>
        <v>0.3480347967186514</v>
      </c>
    </row>
    <row r="45" spans="1:16" x14ac:dyDescent="0.25">
      <c r="A45" s="161" t="s">
        <v>41</v>
      </c>
      <c r="B45" s="162" t="s">
        <v>63</v>
      </c>
      <c r="C45" s="160">
        <f>22442000-1388</f>
        <v>22440612</v>
      </c>
      <c r="D45" s="160">
        <f>SUM(F45:J45)</f>
        <v>22759399.148747001</v>
      </c>
      <c r="E45" s="160">
        <v>3867000</v>
      </c>
      <c r="F45" s="160">
        <f>3734068+1000</f>
        <v>3735068</v>
      </c>
      <c r="G45" s="160">
        <f>4313932+1000</f>
        <v>4314932</v>
      </c>
      <c r="H45" s="160">
        <f>4498813-988</f>
        <v>4497825</v>
      </c>
      <c r="I45" s="160">
        <f>4914678.148747-1504</f>
        <v>4913174.1487469999</v>
      </c>
      <c r="J45" s="160">
        <f>5297400+1000</f>
        <v>5298400</v>
      </c>
      <c r="K45" s="226">
        <v>28769000</v>
      </c>
    </row>
    <row r="46" spans="1:16" x14ac:dyDescent="0.25">
      <c r="A46" s="163"/>
      <c r="B46" s="164" t="s">
        <v>52</v>
      </c>
      <c r="C46" s="165"/>
      <c r="D46" s="165"/>
      <c r="E46" s="165"/>
      <c r="F46" s="154">
        <f>(F45-E45)/E45*100%</f>
        <v>-3.411740367209723E-2</v>
      </c>
      <c r="G46" s="154">
        <f>(G45-F45)/F45*100%</f>
        <v>0.15524857914233423</v>
      </c>
      <c r="H46" s="154">
        <f>(H45-G45)/G45*100%</f>
        <v>4.2386067729456689E-2</v>
      </c>
      <c r="I46" s="154">
        <f>(I45-H45)/H45*100%</f>
        <v>9.2344443980590593E-2</v>
      </c>
      <c r="J46" s="154">
        <f>(J45-I45)/I45*100%</f>
        <v>7.8406716226666562E-2</v>
      </c>
      <c r="K46" s="151">
        <f>(K45-D45)/D45*100%</f>
        <v>0.26404918741380096</v>
      </c>
    </row>
    <row r="47" spans="1:16" x14ac:dyDescent="0.25">
      <c r="A47" s="163"/>
      <c r="B47" s="164" t="s">
        <v>62</v>
      </c>
      <c r="C47" s="165"/>
      <c r="D47" s="154">
        <f t="shared" ref="D47:K47" si="14">D45/D38*100%</f>
        <v>0.68199584844447991</v>
      </c>
      <c r="E47" s="154">
        <f t="shared" si="14"/>
        <v>0.74883810999225409</v>
      </c>
      <c r="F47" s="154">
        <f t="shared" si="14"/>
        <v>0.72387044834769643</v>
      </c>
      <c r="G47" s="154">
        <f t="shared" si="14"/>
        <v>0.67836299233382713</v>
      </c>
      <c r="H47" s="154">
        <f t="shared" si="14"/>
        <v>0.69674200799007358</v>
      </c>
      <c r="I47" s="154">
        <f t="shared" si="14"/>
        <v>0.65050270201102867</v>
      </c>
      <c r="J47" s="154">
        <f t="shared" si="14"/>
        <v>0.67558366378925627</v>
      </c>
      <c r="K47" s="154">
        <f t="shared" si="14"/>
        <v>0.6483593257008925</v>
      </c>
    </row>
    <row r="48" spans="1:16" ht="33" x14ac:dyDescent="0.25">
      <c r="A48" s="161" t="s">
        <v>43</v>
      </c>
      <c r="B48" s="162" t="s">
        <v>64</v>
      </c>
      <c r="C48" s="160">
        <v>1388</v>
      </c>
      <c r="D48" s="160">
        <f>SUM(F48:J48)</f>
        <v>1388</v>
      </c>
      <c r="E48" s="160"/>
      <c r="F48" s="160"/>
      <c r="G48" s="160"/>
      <c r="H48" s="160"/>
      <c r="I48" s="160">
        <v>88</v>
      </c>
      <c r="J48" s="160">
        <v>1300</v>
      </c>
      <c r="K48" s="160">
        <v>10000</v>
      </c>
    </row>
    <row r="49" spans="1:19" x14ac:dyDescent="0.25">
      <c r="A49" s="163"/>
      <c r="B49" s="164" t="s">
        <v>52</v>
      </c>
      <c r="C49" s="165"/>
      <c r="D49" s="160"/>
      <c r="E49" s="165"/>
      <c r="F49" s="154"/>
      <c r="G49" s="154"/>
      <c r="H49" s="154"/>
      <c r="I49" s="154"/>
      <c r="J49" s="154">
        <f>(J48-I48)/I48*100%</f>
        <v>13.772727272727273</v>
      </c>
      <c r="K49" s="151">
        <f>(K48-D48)/D48*100%</f>
        <v>6.2046109510086458</v>
      </c>
    </row>
    <row r="50" spans="1:19" x14ac:dyDescent="0.25">
      <c r="A50" s="163"/>
      <c r="B50" s="164" t="s">
        <v>62</v>
      </c>
      <c r="C50" s="165"/>
      <c r="D50" s="154">
        <f t="shared" ref="D50:K50" si="15">D48/D38*100%</f>
        <v>4.1592057481581314E-5</v>
      </c>
      <c r="E50" s="154">
        <f t="shared" si="15"/>
        <v>0</v>
      </c>
      <c r="F50" s="154">
        <f t="shared" si="15"/>
        <v>0</v>
      </c>
      <c r="G50" s="154">
        <f t="shared" si="15"/>
        <v>0</v>
      </c>
      <c r="H50" s="154">
        <f t="shared" si="15"/>
        <v>0</v>
      </c>
      <c r="I50" s="154">
        <f t="shared" si="15"/>
        <v>1.1651172143281232E-5</v>
      </c>
      <c r="J50" s="222">
        <f t="shared" si="15"/>
        <v>1.6575924107769009E-4</v>
      </c>
      <c r="K50" s="222">
        <f t="shared" si="15"/>
        <v>2.2536734877850898E-4</v>
      </c>
    </row>
    <row r="51" spans="1:19" ht="33" x14ac:dyDescent="0.25">
      <c r="A51" s="161" t="s">
        <v>45</v>
      </c>
      <c r="B51" s="162" t="s">
        <v>180</v>
      </c>
      <c r="C51" s="160">
        <v>154000</v>
      </c>
      <c r="D51" s="160">
        <f>SUM(F51:J51)</f>
        <v>89682</v>
      </c>
      <c r="E51" s="160">
        <v>19000</v>
      </c>
      <c r="F51" s="160">
        <f>39245</f>
        <v>39245</v>
      </c>
      <c r="G51" s="160">
        <f>43934</f>
        <v>43934</v>
      </c>
      <c r="H51" s="160">
        <f>2000+11+988</f>
        <v>2999</v>
      </c>
      <c r="I51" s="160">
        <f>2000+1504</f>
        <v>3504</v>
      </c>
      <c r="J51" s="160">
        <v>0</v>
      </c>
      <c r="K51" s="160">
        <v>150000</v>
      </c>
    </row>
    <row r="52" spans="1:19" hidden="1" x14ac:dyDescent="0.25">
      <c r="A52" s="161"/>
      <c r="B52" s="162" t="s">
        <v>65</v>
      </c>
      <c r="C52" s="160"/>
      <c r="D52" s="160">
        <f>SUM(F52:J52)</f>
        <v>0</v>
      </c>
      <c r="E52" s="160"/>
      <c r="F52" s="160"/>
      <c r="G52" s="160"/>
      <c r="H52" s="160"/>
      <c r="I52" s="160"/>
      <c r="J52" s="160"/>
      <c r="K52" s="165"/>
    </row>
    <row r="53" spans="1:19" s="172" customFormat="1" x14ac:dyDescent="0.25">
      <c r="A53" s="161" t="s">
        <v>174</v>
      </c>
      <c r="B53" s="162" t="s">
        <v>66</v>
      </c>
      <c r="C53" s="160"/>
      <c r="D53" s="160">
        <f>SUM(F53:J53)</f>
        <v>27400</v>
      </c>
      <c r="E53" s="160"/>
      <c r="F53" s="160">
        <v>0</v>
      </c>
      <c r="G53" s="160">
        <v>0</v>
      </c>
      <c r="H53" s="160">
        <v>11300</v>
      </c>
      <c r="I53" s="160">
        <v>0</v>
      </c>
      <c r="J53" s="160">
        <f>J54+J55</f>
        <v>16100</v>
      </c>
      <c r="K53" s="160">
        <f>K54+K55</f>
        <v>205739</v>
      </c>
    </row>
    <row r="54" spans="1:19" s="182" customFormat="1" ht="33" x14ac:dyDescent="0.25">
      <c r="A54" s="179">
        <v>1</v>
      </c>
      <c r="B54" s="180" t="s">
        <v>171</v>
      </c>
      <c r="C54" s="181"/>
      <c r="D54" s="181">
        <f>SUM(F54:J54)</f>
        <v>11300</v>
      </c>
      <c r="E54" s="181"/>
      <c r="F54" s="181"/>
      <c r="G54" s="181"/>
      <c r="H54" s="181">
        <v>11300</v>
      </c>
      <c r="I54" s="181"/>
      <c r="J54" s="181"/>
      <c r="K54" s="181"/>
    </row>
    <row r="55" spans="1:19" s="182" customFormat="1" x14ac:dyDescent="0.25">
      <c r="A55" s="179">
        <v>2</v>
      </c>
      <c r="B55" s="180" t="s">
        <v>152</v>
      </c>
      <c r="C55" s="181"/>
      <c r="D55" s="181">
        <f>SUM(F55:J55)</f>
        <v>16100</v>
      </c>
      <c r="E55" s="181"/>
      <c r="F55" s="181"/>
      <c r="G55" s="181"/>
      <c r="H55" s="181"/>
      <c r="I55" s="181"/>
      <c r="J55" s="181">
        <v>16100</v>
      </c>
      <c r="K55" s="181">
        <v>205739</v>
      </c>
      <c r="S55" s="183"/>
    </row>
    <row r="56" spans="1:19" s="172" customFormat="1" ht="33" x14ac:dyDescent="0.25">
      <c r="A56" s="161" t="s">
        <v>67</v>
      </c>
      <c r="B56" s="162" t="s">
        <v>68</v>
      </c>
      <c r="C56" s="160"/>
      <c r="D56" s="160"/>
      <c r="E56" s="160"/>
      <c r="F56" s="160"/>
      <c r="G56" s="160"/>
      <c r="H56" s="160"/>
      <c r="I56" s="160"/>
      <c r="J56" s="160"/>
      <c r="K56" s="165"/>
    </row>
    <row r="57" spans="1:19" s="172" customFormat="1" x14ac:dyDescent="0.25">
      <c r="A57" s="161" t="s">
        <v>50</v>
      </c>
      <c r="B57" s="162" t="s">
        <v>69</v>
      </c>
      <c r="C57" s="160"/>
      <c r="D57" s="160">
        <f>SUM(F57:J57)</f>
        <v>2378322.8000000003</v>
      </c>
      <c r="E57" s="160"/>
      <c r="F57" s="160">
        <f t="shared" ref="F57:K57" si="16">F30*20%</f>
        <v>400480.2</v>
      </c>
      <c r="G57" s="160">
        <f t="shared" si="16"/>
        <v>415525.2</v>
      </c>
      <c r="H57" s="160">
        <f t="shared" si="16"/>
        <v>477759.80000000005</v>
      </c>
      <c r="I57" s="160">
        <f t="shared" si="16"/>
        <v>548937</v>
      </c>
      <c r="J57" s="160">
        <f t="shared" si="16"/>
        <v>535620.6</v>
      </c>
      <c r="K57" s="160">
        <f t="shared" si="16"/>
        <v>3271600</v>
      </c>
      <c r="L57" s="173"/>
      <c r="M57" s="173"/>
      <c r="N57" s="173"/>
      <c r="O57" s="173"/>
    </row>
    <row r="58" spans="1:19" s="172" customFormat="1" x14ac:dyDescent="0.25">
      <c r="A58" s="161" t="s">
        <v>41</v>
      </c>
      <c r="B58" s="162" t="s">
        <v>70</v>
      </c>
      <c r="C58" s="160"/>
      <c r="D58" s="160">
        <f>SUM(F58:J58)</f>
        <v>526269</v>
      </c>
      <c r="E58" s="160"/>
      <c r="F58" s="160">
        <v>187500</v>
      </c>
      <c r="G58" s="160">
        <f>F67</f>
        <v>138500</v>
      </c>
      <c r="H58" s="160">
        <f>G67</f>
        <v>91500</v>
      </c>
      <c r="I58" s="160">
        <f>H67</f>
        <v>56454</v>
      </c>
      <c r="J58" s="160">
        <f>I67</f>
        <v>52315</v>
      </c>
      <c r="K58" s="160">
        <f>J67</f>
        <v>52587</v>
      </c>
    </row>
    <row r="59" spans="1:19" s="174" customFormat="1" ht="33" x14ac:dyDescent="0.25">
      <c r="A59" s="167"/>
      <c r="B59" s="164" t="s">
        <v>71</v>
      </c>
      <c r="C59" s="168"/>
      <c r="D59" s="152">
        <f>IF(D57=0,0,D58/D57*100)</f>
        <v>22.12773640314931</v>
      </c>
      <c r="E59" s="152"/>
      <c r="F59" s="152">
        <f t="shared" ref="F59:K59" si="17">IF(F57=0,0,F58/F57*100)</f>
        <v>46.818794037757669</v>
      </c>
      <c r="G59" s="152">
        <f t="shared" si="17"/>
        <v>33.33131179528943</v>
      </c>
      <c r="H59" s="152">
        <f t="shared" si="17"/>
        <v>19.151883435986029</v>
      </c>
      <c r="I59" s="152">
        <f t="shared" si="17"/>
        <v>10.284240268008897</v>
      </c>
      <c r="J59" s="152">
        <f t="shared" si="17"/>
        <v>9.7671747501869799</v>
      </c>
      <c r="K59" s="152">
        <f t="shared" si="17"/>
        <v>1.6073786526470228</v>
      </c>
    </row>
    <row r="60" spans="1:19" s="174" customFormat="1" ht="33" x14ac:dyDescent="0.25">
      <c r="A60" s="167"/>
      <c r="B60" s="164" t="s">
        <v>72</v>
      </c>
      <c r="C60" s="168"/>
      <c r="D60" s="152">
        <f>IF(D8=0,0,D58/D8*100)</f>
        <v>0.51261298994779092</v>
      </c>
      <c r="E60" s="152"/>
      <c r="F60" s="152">
        <f t="shared" ref="F60:K60" si="18">IF(F8=0,0,F58/F8*100)</f>
        <v>1.1486859033265944</v>
      </c>
      <c r="G60" s="152">
        <f t="shared" si="18"/>
        <v>0.76603982300884954</v>
      </c>
      <c r="H60" s="152">
        <f t="shared" si="18"/>
        <v>0.45795795795795802</v>
      </c>
      <c r="I60" s="152">
        <f t="shared" si="18"/>
        <v>0.25168970129291129</v>
      </c>
      <c r="J60" s="152">
        <f t="shared" si="18"/>
        <v>0.20237128157518086</v>
      </c>
      <c r="K60" s="152">
        <f t="shared" si="18"/>
        <v>2.9278436612660764E-2</v>
      </c>
    </row>
    <row r="61" spans="1:19" s="173" customFormat="1" x14ac:dyDescent="0.25">
      <c r="A61" s="161" t="s">
        <v>43</v>
      </c>
      <c r="B61" s="162" t="s">
        <v>73</v>
      </c>
      <c r="C61" s="160"/>
      <c r="D61" s="160">
        <f t="shared" ref="D61:D66" si="19">SUM(F61:J61)</f>
        <v>181500</v>
      </c>
      <c r="E61" s="160"/>
      <c r="F61" s="160">
        <f t="shared" ref="F61:K61" si="20">F62+F63</f>
        <v>49000</v>
      </c>
      <c r="G61" s="160">
        <f t="shared" si="20"/>
        <v>47000</v>
      </c>
      <c r="H61" s="160">
        <f t="shared" si="20"/>
        <v>38500</v>
      </c>
      <c r="I61" s="160">
        <f t="shared" si="20"/>
        <v>29000</v>
      </c>
      <c r="J61" s="160">
        <f t="shared" si="20"/>
        <v>18000</v>
      </c>
      <c r="K61" s="160">
        <f t="shared" si="20"/>
        <v>41500</v>
      </c>
    </row>
    <row r="62" spans="1:19" s="172" customFormat="1" x14ac:dyDescent="0.25">
      <c r="A62" s="163" t="s">
        <v>10</v>
      </c>
      <c r="B62" s="170" t="s">
        <v>74</v>
      </c>
      <c r="C62" s="165"/>
      <c r="D62" s="165">
        <f t="shared" si="19"/>
        <v>0</v>
      </c>
      <c r="E62" s="165"/>
      <c r="F62" s="165"/>
      <c r="G62" s="165"/>
      <c r="H62" s="165"/>
      <c r="I62" s="165"/>
      <c r="J62" s="165"/>
      <c r="K62" s="165">
        <v>7100</v>
      </c>
    </row>
    <row r="63" spans="1:19" s="172" customFormat="1" ht="33" x14ac:dyDescent="0.25">
      <c r="A63" s="163" t="s">
        <v>10</v>
      </c>
      <c r="B63" s="170" t="s">
        <v>181</v>
      </c>
      <c r="C63" s="165"/>
      <c r="D63" s="165">
        <f t="shared" si="19"/>
        <v>181500</v>
      </c>
      <c r="E63" s="165"/>
      <c r="F63" s="165">
        <v>49000</v>
      </c>
      <c r="G63" s="165">
        <v>47000</v>
      </c>
      <c r="H63" s="165">
        <v>38500</v>
      </c>
      <c r="I63" s="165">
        <v>29000</v>
      </c>
      <c r="J63" s="165">
        <v>18000</v>
      </c>
      <c r="K63" s="165">
        <v>34400</v>
      </c>
    </row>
    <row r="64" spans="1:19" s="172" customFormat="1" x14ac:dyDescent="0.25">
      <c r="A64" s="161" t="s">
        <v>45</v>
      </c>
      <c r="B64" s="162" t="s">
        <v>75</v>
      </c>
      <c r="C64" s="160"/>
      <c r="D64" s="160">
        <f t="shared" si="19"/>
        <v>46587</v>
      </c>
      <c r="E64" s="160"/>
      <c r="F64" s="160">
        <f t="shared" ref="F64:K64" si="21">F65+F66</f>
        <v>0</v>
      </c>
      <c r="G64" s="160">
        <f t="shared" si="21"/>
        <v>0</v>
      </c>
      <c r="H64" s="160">
        <f t="shared" si="21"/>
        <v>3454</v>
      </c>
      <c r="I64" s="160">
        <f t="shared" si="21"/>
        <v>24861</v>
      </c>
      <c r="J64" s="160">
        <f t="shared" si="21"/>
        <v>18272</v>
      </c>
      <c r="K64" s="160">
        <f t="shared" si="21"/>
        <v>205739</v>
      </c>
    </row>
    <row r="65" spans="1:13" s="172" customFormat="1" x14ac:dyDescent="0.25">
      <c r="A65" s="163" t="s">
        <v>10</v>
      </c>
      <c r="B65" s="170" t="s">
        <v>76</v>
      </c>
      <c r="C65" s="165"/>
      <c r="D65" s="165">
        <f t="shared" si="19"/>
        <v>46587</v>
      </c>
      <c r="E65" s="165"/>
      <c r="F65" s="165"/>
      <c r="G65" s="165"/>
      <c r="H65" s="165">
        <v>3454</v>
      </c>
      <c r="I65" s="165">
        <v>24861</v>
      </c>
      <c r="J65" s="165">
        <v>18272</v>
      </c>
      <c r="K65" s="165">
        <f>K55</f>
        <v>205739</v>
      </c>
    </row>
    <row r="66" spans="1:13" s="172" customFormat="1" x14ac:dyDescent="0.25">
      <c r="A66" s="163" t="s">
        <v>10</v>
      </c>
      <c r="B66" s="170" t="s">
        <v>77</v>
      </c>
      <c r="C66" s="165"/>
      <c r="D66" s="165">
        <f t="shared" si="19"/>
        <v>0</v>
      </c>
      <c r="E66" s="165"/>
      <c r="F66" s="165"/>
      <c r="G66" s="165"/>
      <c r="H66" s="165">
        <v>0</v>
      </c>
      <c r="I66" s="165">
        <v>0</v>
      </c>
      <c r="J66" s="165"/>
      <c r="K66" s="165"/>
    </row>
    <row r="67" spans="1:13" s="173" customFormat="1" x14ac:dyDescent="0.25">
      <c r="A67" s="161" t="s">
        <v>78</v>
      </c>
      <c r="B67" s="162" t="s">
        <v>79</v>
      </c>
      <c r="C67" s="160"/>
      <c r="D67" s="160">
        <f>D58-D61+D64</f>
        <v>391356</v>
      </c>
      <c r="E67" s="160"/>
      <c r="F67" s="160">
        <f t="shared" ref="F67:K67" si="22">F58-F61+F64</f>
        <v>138500</v>
      </c>
      <c r="G67" s="160">
        <f t="shared" si="22"/>
        <v>91500</v>
      </c>
      <c r="H67" s="160">
        <f t="shared" si="22"/>
        <v>56454</v>
      </c>
      <c r="I67" s="160">
        <f t="shared" si="22"/>
        <v>52315</v>
      </c>
      <c r="J67" s="160">
        <f t="shared" si="22"/>
        <v>52587</v>
      </c>
      <c r="K67" s="160">
        <f t="shared" si="22"/>
        <v>216826</v>
      </c>
      <c r="L67" s="172"/>
    </row>
    <row r="68" spans="1:13" s="174" customFormat="1" ht="33" x14ac:dyDescent="0.25">
      <c r="A68" s="167"/>
      <c r="B68" s="164" t="s">
        <v>80</v>
      </c>
      <c r="C68" s="168"/>
      <c r="D68" s="152">
        <f>IF(D57=0,0,D67/D57*100)</f>
        <v>16.455125435453922</v>
      </c>
      <c r="E68" s="152"/>
      <c r="F68" s="152">
        <f t="shared" ref="F68:K68" si="23">IF(F57=0,0,F67/F57*100)</f>
        <v>34.583482529223666</v>
      </c>
      <c r="G68" s="152">
        <f t="shared" si="23"/>
        <v>22.020325121075686</v>
      </c>
      <c r="H68" s="152">
        <f t="shared" si="23"/>
        <v>11.816398114701151</v>
      </c>
      <c r="I68" s="152">
        <f t="shared" si="23"/>
        <v>9.5302375318114834</v>
      </c>
      <c r="J68" s="152">
        <f t="shared" si="23"/>
        <v>9.81795696431392</v>
      </c>
      <c r="K68" s="152">
        <f t="shared" si="23"/>
        <v>6.6275217019195507</v>
      </c>
      <c r="L68" s="1"/>
      <c r="M68" s="175"/>
    </row>
    <row r="69" spans="1:13" s="174" customFormat="1" ht="33" x14ac:dyDescent="0.25">
      <c r="A69" s="176"/>
      <c r="B69" s="177" t="s">
        <v>81</v>
      </c>
      <c r="C69" s="178"/>
      <c r="D69" s="153">
        <f>IF(D8=0,0,D67/D8*100)</f>
        <v>0.38120081041066001</v>
      </c>
      <c r="E69" s="153"/>
      <c r="F69" s="153">
        <f t="shared" ref="F69:K69" si="24">IF(F8=0,0,F67/F8*100)</f>
        <v>0.84849598725724429</v>
      </c>
      <c r="G69" s="153">
        <f t="shared" si="24"/>
        <v>0.50608407079646012</v>
      </c>
      <c r="H69" s="153">
        <f t="shared" si="24"/>
        <v>0.28255255255255257</v>
      </c>
      <c r="I69" s="153">
        <f t="shared" si="24"/>
        <v>0.23323673651359783</v>
      </c>
      <c r="J69" s="153">
        <f t="shared" si="24"/>
        <v>0.20342346524312407</v>
      </c>
      <c r="K69" s="153">
        <f t="shared" si="24"/>
        <v>0.12072044986359334</v>
      </c>
    </row>
    <row r="70" spans="1:13" ht="17.25" customHeight="1" x14ac:dyDescent="0.25">
      <c r="A70" s="237" t="s">
        <v>182</v>
      </c>
      <c r="B70" s="237"/>
      <c r="C70" s="237"/>
      <c r="D70" s="237"/>
      <c r="E70" s="237"/>
      <c r="F70" s="237"/>
      <c r="G70" s="237"/>
      <c r="H70" s="237"/>
      <c r="I70" s="237"/>
      <c r="J70" s="237"/>
      <c r="K70" s="237"/>
    </row>
    <row r="71" spans="1:13" ht="17.25" customHeight="1" x14ac:dyDescent="0.25">
      <c r="A71" s="236" t="s">
        <v>172</v>
      </c>
      <c r="B71" s="237"/>
      <c r="C71" s="237"/>
      <c r="D71" s="237"/>
      <c r="E71" s="237"/>
      <c r="F71" s="237"/>
      <c r="G71" s="237"/>
      <c r="H71" s="237"/>
      <c r="I71" s="237"/>
      <c r="J71" s="237"/>
      <c r="K71" s="237"/>
    </row>
    <row r="72" spans="1:13" ht="33" customHeight="1" x14ac:dyDescent="0.25">
      <c r="B72" s="238" t="s">
        <v>173</v>
      </c>
      <c r="C72" s="238"/>
      <c r="D72" s="238"/>
      <c r="E72" s="238"/>
      <c r="F72" s="238"/>
      <c r="G72" s="238"/>
      <c r="H72" s="238"/>
      <c r="I72" s="238"/>
      <c r="J72" s="238"/>
      <c r="K72" s="238"/>
    </row>
    <row r="73" spans="1:13" ht="32.25" customHeight="1" x14ac:dyDescent="0.25">
      <c r="B73" s="238" t="s">
        <v>183</v>
      </c>
      <c r="C73" s="238"/>
      <c r="D73" s="238"/>
      <c r="E73" s="238"/>
      <c r="F73" s="238"/>
      <c r="G73" s="238"/>
      <c r="H73" s="238"/>
      <c r="I73" s="238"/>
      <c r="J73" s="238"/>
      <c r="K73" s="238"/>
    </row>
  </sheetData>
  <sheetProtection sheet="1" objects="1" scenarios="1"/>
  <mergeCells count="11">
    <mergeCell ref="A71:K71"/>
    <mergeCell ref="B72:K72"/>
    <mergeCell ref="B73:K73"/>
    <mergeCell ref="A2:K2"/>
    <mergeCell ref="A5:A6"/>
    <mergeCell ref="B5:B6"/>
    <mergeCell ref="C5:C6"/>
    <mergeCell ref="D5:J5"/>
    <mergeCell ref="K5:K6"/>
    <mergeCell ref="A3:K3"/>
    <mergeCell ref="A70:K70"/>
  </mergeCells>
  <dataValidations count="3">
    <dataValidation allowBlank="1" showInputMessage="1" showErrorMessage="1" prompt="Gồm: cân đối: 28.708; TƯBSMT: 206; giảm: 15: BSung Quỹ dự trữ TC + Trả nợ lãi vay" sqref="K45"/>
    <dataValidation allowBlank="1" showInputMessage="1" showErrorMessage="1" prompt="Gồm vốn đầu tư cân đối: 7.620; TƯBSMT vốn đầu tư: 6.382" sqref="K42"/>
    <dataValidation allowBlank="1" showInputMessage="1" showErrorMessage="1" prompt="Bằng mức Bội chi NSĐP; Bằng nhu cầu rút vốn vay của các năm GĐ 2021-2025" sqref="K65"/>
  </dataValidations>
  <printOptions horizontalCentered="1"/>
  <pageMargins left="0.11811023622047245" right="0.11811023622047245" top="0.15748031496062992" bottom="0.15748031496062992"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90" zoomScaleNormal="90" workbookViewId="0">
      <pane xSplit="2" ySplit="7" topLeftCell="C8" activePane="bottomRight" state="frozen"/>
      <selection pane="topRight" activeCell="C1" sqref="C1"/>
      <selection pane="bottomLeft" activeCell="A7" sqref="A7"/>
      <selection pane="bottomRight" activeCell="B12" sqref="B12"/>
    </sheetView>
  </sheetViews>
  <sheetFormatPr defaultRowHeight="15.75" x14ac:dyDescent="0.25"/>
  <cols>
    <col min="1" max="1" width="6" style="111" customWidth="1"/>
    <col min="2" max="2" width="45" style="104" customWidth="1"/>
    <col min="3" max="3" width="7.7109375" style="104" customWidth="1"/>
    <col min="4" max="4" width="8.28515625" style="104" customWidth="1"/>
    <col min="5" max="5" width="8.85546875" style="104" customWidth="1"/>
    <col min="6" max="6" width="8.5703125" style="104" customWidth="1"/>
    <col min="7" max="7" width="7.7109375" style="104" customWidth="1"/>
    <col min="8" max="8" width="8.140625" style="109" customWidth="1"/>
    <col min="9" max="9" width="9" style="109" customWidth="1"/>
    <col min="10" max="10" width="9.5703125" style="109" customWidth="1"/>
    <col min="11" max="11" width="8.85546875" style="109" customWidth="1"/>
    <col min="12" max="12" width="9.28515625" style="109" customWidth="1"/>
    <col min="13" max="13" width="7.7109375" style="109" customWidth="1"/>
    <col min="14" max="14" width="8.42578125" style="109" customWidth="1"/>
    <col min="15" max="15" width="9.85546875" style="109" customWidth="1"/>
    <col min="16" max="256" width="9.140625" style="104"/>
    <col min="257" max="257" width="6" style="104" customWidth="1"/>
    <col min="258" max="258" width="45" style="104" customWidth="1"/>
    <col min="259" max="259" width="7.7109375" style="104" customWidth="1"/>
    <col min="260" max="260" width="8.28515625" style="104" customWidth="1"/>
    <col min="261" max="261" width="8.85546875" style="104" customWidth="1"/>
    <col min="262" max="262" width="8.5703125" style="104" customWidth="1"/>
    <col min="263" max="263" width="7.7109375" style="104" customWidth="1"/>
    <col min="264" max="264" width="8.140625" style="104" customWidth="1"/>
    <col min="265" max="265" width="9" style="104" customWidth="1"/>
    <col min="266" max="266" width="9.5703125" style="104" customWidth="1"/>
    <col min="267" max="267" width="8.85546875" style="104" customWidth="1"/>
    <col min="268" max="268" width="9.28515625" style="104" customWidth="1"/>
    <col min="269" max="269" width="7.7109375" style="104" customWidth="1"/>
    <col min="270" max="270" width="8.42578125" style="104" customWidth="1"/>
    <col min="271" max="271" width="9.85546875" style="104" customWidth="1"/>
    <col min="272" max="512" width="9.140625" style="104"/>
    <col min="513" max="513" width="6" style="104" customWidth="1"/>
    <col min="514" max="514" width="45" style="104" customWidth="1"/>
    <col min="515" max="515" width="7.7109375" style="104" customWidth="1"/>
    <col min="516" max="516" width="8.28515625" style="104" customWidth="1"/>
    <col min="517" max="517" width="8.85546875" style="104" customWidth="1"/>
    <col min="518" max="518" width="8.5703125" style="104" customWidth="1"/>
    <col min="519" max="519" width="7.7109375" style="104" customWidth="1"/>
    <col min="520" max="520" width="8.140625" style="104" customWidth="1"/>
    <col min="521" max="521" width="9" style="104" customWidth="1"/>
    <col min="522" max="522" width="9.5703125" style="104" customWidth="1"/>
    <col min="523" max="523" width="8.85546875" style="104" customWidth="1"/>
    <col min="524" max="524" width="9.28515625" style="104" customWidth="1"/>
    <col min="525" max="525" width="7.7109375" style="104" customWidth="1"/>
    <col min="526" max="526" width="8.42578125" style="104" customWidth="1"/>
    <col min="527" max="527" width="9.85546875" style="104" customWidth="1"/>
    <col min="528" max="768" width="9.140625" style="104"/>
    <col min="769" max="769" width="6" style="104" customWidth="1"/>
    <col min="770" max="770" width="45" style="104" customWidth="1"/>
    <col min="771" max="771" width="7.7109375" style="104" customWidth="1"/>
    <col min="772" max="772" width="8.28515625" style="104" customWidth="1"/>
    <col min="773" max="773" width="8.85546875" style="104" customWidth="1"/>
    <col min="774" max="774" width="8.5703125" style="104" customWidth="1"/>
    <col min="775" max="775" width="7.7109375" style="104" customWidth="1"/>
    <col min="776" max="776" width="8.140625" style="104" customWidth="1"/>
    <col min="777" max="777" width="9" style="104" customWidth="1"/>
    <col min="778" max="778" width="9.5703125" style="104" customWidth="1"/>
    <col min="779" max="779" width="8.85546875" style="104" customWidth="1"/>
    <col min="780" max="780" width="9.28515625" style="104" customWidth="1"/>
    <col min="781" max="781" width="7.7109375" style="104" customWidth="1"/>
    <col min="782" max="782" width="8.42578125" style="104" customWidth="1"/>
    <col min="783" max="783" width="9.85546875" style="104" customWidth="1"/>
    <col min="784" max="1024" width="9.140625" style="104"/>
    <col min="1025" max="1025" width="6" style="104" customWidth="1"/>
    <col min="1026" max="1026" width="45" style="104" customWidth="1"/>
    <col min="1027" max="1027" width="7.7109375" style="104" customWidth="1"/>
    <col min="1028" max="1028" width="8.28515625" style="104" customWidth="1"/>
    <col min="1029" max="1029" width="8.85546875" style="104" customWidth="1"/>
    <col min="1030" max="1030" width="8.5703125" style="104" customWidth="1"/>
    <col min="1031" max="1031" width="7.7109375" style="104" customWidth="1"/>
    <col min="1032" max="1032" width="8.140625" style="104" customWidth="1"/>
    <col min="1033" max="1033" width="9" style="104" customWidth="1"/>
    <col min="1034" max="1034" width="9.5703125" style="104" customWidth="1"/>
    <col min="1035" max="1035" width="8.85546875" style="104" customWidth="1"/>
    <col min="1036" max="1036" width="9.28515625" style="104" customWidth="1"/>
    <col min="1037" max="1037" width="7.7109375" style="104" customWidth="1"/>
    <col min="1038" max="1038" width="8.42578125" style="104" customWidth="1"/>
    <col min="1039" max="1039" width="9.85546875" style="104" customWidth="1"/>
    <col min="1040" max="1280" width="9.140625" style="104"/>
    <col min="1281" max="1281" width="6" style="104" customWidth="1"/>
    <col min="1282" max="1282" width="45" style="104" customWidth="1"/>
    <col min="1283" max="1283" width="7.7109375" style="104" customWidth="1"/>
    <col min="1284" max="1284" width="8.28515625" style="104" customWidth="1"/>
    <col min="1285" max="1285" width="8.85546875" style="104" customWidth="1"/>
    <col min="1286" max="1286" width="8.5703125" style="104" customWidth="1"/>
    <col min="1287" max="1287" width="7.7109375" style="104" customWidth="1"/>
    <col min="1288" max="1288" width="8.140625" style="104" customWidth="1"/>
    <col min="1289" max="1289" width="9" style="104" customWidth="1"/>
    <col min="1290" max="1290" width="9.5703125" style="104" customWidth="1"/>
    <col min="1291" max="1291" width="8.85546875" style="104" customWidth="1"/>
    <col min="1292" max="1292" width="9.28515625" style="104" customWidth="1"/>
    <col min="1293" max="1293" width="7.7109375" style="104" customWidth="1"/>
    <col min="1294" max="1294" width="8.42578125" style="104" customWidth="1"/>
    <col min="1295" max="1295" width="9.85546875" style="104" customWidth="1"/>
    <col min="1296" max="1536" width="9.140625" style="104"/>
    <col min="1537" max="1537" width="6" style="104" customWidth="1"/>
    <col min="1538" max="1538" width="45" style="104" customWidth="1"/>
    <col min="1539" max="1539" width="7.7109375" style="104" customWidth="1"/>
    <col min="1540" max="1540" width="8.28515625" style="104" customWidth="1"/>
    <col min="1541" max="1541" width="8.85546875" style="104" customWidth="1"/>
    <col min="1542" max="1542" width="8.5703125" style="104" customWidth="1"/>
    <col min="1543" max="1543" width="7.7109375" style="104" customWidth="1"/>
    <col min="1544" max="1544" width="8.140625" style="104" customWidth="1"/>
    <col min="1545" max="1545" width="9" style="104" customWidth="1"/>
    <col min="1546" max="1546" width="9.5703125" style="104" customWidth="1"/>
    <col min="1547" max="1547" width="8.85546875" style="104" customWidth="1"/>
    <col min="1548" max="1548" width="9.28515625" style="104" customWidth="1"/>
    <col min="1549" max="1549" width="7.7109375" style="104" customWidth="1"/>
    <col min="1550" max="1550" width="8.42578125" style="104" customWidth="1"/>
    <col min="1551" max="1551" width="9.85546875" style="104" customWidth="1"/>
    <col min="1552" max="1792" width="9.140625" style="104"/>
    <col min="1793" max="1793" width="6" style="104" customWidth="1"/>
    <col min="1794" max="1794" width="45" style="104" customWidth="1"/>
    <col min="1795" max="1795" width="7.7109375" style="104" customWidth="1"/>
    <col min="1796" max="1796" width="8.28515625" style="104" customWidth="1"/>
    <col min="1797" max="1797" width="8.85546875" style="104" customWidth="1"/>
    <col min="1798" max="1798" width="8.5703125" style="104" customWidth="1"/>
    <col min="1799" max="1799" width="7.7109375" style="104" customWidth="1"/>
    <col min="1800" max="1800" width="8.140625" style="104" customWidth="1"/>
    <col min="1801" max="1801" width="9" style="104" customWidth="1"/>
    <col min="1802" max="1802" width="9.5703125" style="104" customWidth="1"/>
    <col min="1803" max="1803" width="8.85546875" style="104" customWidth="1"/>
    <col min="1804" max="1804" width="9.28515625" style="104" customWidth="1"/>
    <col min="1805" max="1805" width="7.7109375" style="104" customWidth="1"/>
    <col min="1806" max="1806" width="8.42578125" style="104" customWidth="1"/>
    <col min="1807" max="1807" width="9.85546875" style="104" customWidth="1"/>
    <col min="1808" max="2048" width="9.140625" style="104"/>
    <col min="2049" max="2049" width="6" style="104" customWidth="1"/>
    <col min="2050" max="2050" width="45" style="104" customWidth="1"/>
    <col min="2051" max="2051" width="7.7109375" style="104" customWidth="1"/>
    <col min="2052" max="2052" width="8.28515625" style="104" customWidth="1"/>
    <col min="2053" max="2053" width="8.85546875" style="104" customWidth="1"/>
    <col min="2054" max="2054" width="8.5703125" style="104" customWidth="1"/>
    <col min="2055" max="2055" width="7.7109375" style="104" customWidth="1"/>
    <col min="2056" max="2056" width="8.140625" style="104" customWidth="1"/>
    <col min="2057" max="2057" width="9" style="104" customWidth="1"/>
    <col min="2058" max="2058" width="9.5703125" style="104" customWidth="1"/>
    <col min="2059" max="2059" width="8.85546875" style="104" customWidth="1"/>
    <col min="2060" max="2060" width="9.28515625" style="104" customWidth="1"/>
    <col min="2061" max="2061" width="7.7109375" style="104" customWidth="1"/>
    <col min="2062" max="2062" width="8.42578125" style="104" customWidth="1"/>
    <col min="2063" max="2063" width="9.85546875" style="104" customWidth="1"/>
    <col min="2064" max="2304" width="9.140625" style="104"/>
    <col min="2305" max="2305" width="6" style="104" customWidth="1"/>
    <col min="2306" max="2306" width="45" style="104" customWidth="1"/>
    <col min="2307" max="2307" width="7.7109375" style="104" customWidth="1"/>
    <col min="2308" max="2308" width="8.28515625" style="104" customWidth="1"/>
    <col min="2309" max="2309" width="8.85546875" style="104" customWidth="1"/>
    <col min="2310" max="2310" width="8.5703125" style="104" customWidth="1"/>
    <col min="2311" max="2311" width="7.7109375" style="104" customWidth="1"/>
    <col min="2312" max="2312" width="8.140625" style="104" customWidth="1"/>
    <col min="2313" max="2313" width="9" style="104" customWidth="1"/>
    <col min="2314" max="2314" width="9.5703125" style="104" customWidth="1"/>
    <col min="2315" max="2315" width="8.85546875" style="104" customWidth="1"/>
    <col min="2316" max="2316" width="9.28515625" style="104" customWidth="1"/>
    <col min="2317" max="2317" width="7.7109375" style="104" customWidth="1"/>
    <col min="2318" max="2318" width="8.42578125" style="104" customWidth="1"/>
    <col min="2319" max="2319" width="9.85546875" style="104" customWidth="1"/>
    <col min="2320" max="2560" width="9.140625" style="104"/>
    <col min="2561" max="2561" width="6" style="104" customWidth="1"/>
    <col min="2562" max="2562" width="45" style="104" customWidth="1"/>
    <col min="2563" max="2563" width="7.7109375" style="104" customWidth="1"/>
    <col min="2564" max="2564" width="8.28515625" style="104" customWidth="1"/>
    <col min="2565" max="2565" width="8.85546875" style="104" customWidth="1"/>
    <col min="2566" max="2566" width="8.5703125" style="104" customWidth="1"/>
    <col min="2567" max="2567" width="7.7109375" style="104" customWidth="1"/>
    <col min="2568" max="2568" width="8.140625" style="104" customWidth="1"/>
    <col min="2569" max="2569" width="9" style="104" customWidth="1"/>
    <col min="2570" max="2570" width="9.5703125" style="104" customWidth="1"/>
    <col min="2571" max="2571" width="8.85546875" style="104" customWidth="1"/>
    <col min="2572" max="2572" width="9.28515625" style="104" customWidth="1"/>
    <col min="2573" max="2573" width="7.7109375" style="104" customWidth="1"/>
    <col min="2574" max="2574" width="8.42578125" style="104" customWidth="1"/>
    <col min="2575" max="2575" width="9.85546875" style="104" customWidth="1"/>
    <col min="2576" max="2816" width="9.140625" style="104"/>
    <col min="2817" max="2817" width="6" style="104" customWidth="1"/>
    <col min="2818" max="2818" width="45" style="104" customWidth="1"/>
    <col min="2819" max="2819" width="7.7109375" style="104" customWidth="1"/>
    <col min="2820" max="2820" width="8.28515625" style="104" customWidth="1"/>
    <col min="2821" max="2821" width="8.85546875" style="104" customWidth="1"/>
    <col min="2822" max="2822" width="8.5703125" style="104" customWidth="1"/>
    <col min="2823" max="2823" width="7.7109375" style="104" customWidth="1"/>
    <col min="2824" max="2824" width="8.140625" style="104" customWidth="1"/>
    <col min="2825" max="2825" width="9" style="104" customWidth="1"/>
    <col min="2826" max="2826" width="9.5703125" style="104" customWidth="1"/>
    <col min="2827" max="2827" width="8.85546875" style="104" customWidth="1"/>
    <col min="2828" max="2828" width="9.28515625" style="104" customWidth="1"/>
    <col min="2829" max="2829" width="7.7109375" style="104" customWidth="1"/>
    <col min="2830" max="2830" width="8.42578125" style="104" customWidth="1"/>
    <col min="2831" max="2831" width="9.85546875" style="104" customWidth="1"/>
    <col min="2832" max="3072" width="9.140625" style="104"/>
    <col min="3073" max="3073" width="6" style="104" customWidth="1"/>
    <col min="3074" max="3074" width="45" style="104" customWidth="1"/>
    <col min="3075" max="3075" width="7.7109375" style="104" customWidth="1"/>
    <col min="3076" max="3076" width="8.28515625" style="104" customWidth="1"/>
    <col min="3077" max="3077" width="8.85546875" style="104" customWidth="1"/>
    <col min="3078" max="3078" width="8.5703125" style="104" customWidth="1"/>
    <col min="3079" max="3079" width="7.7109375" style="104" customWidth="1"/>
    <col min="3080" max="3080" width="8.140625" style="104" customWidth="1"/>
    <col min="3081" max="3081" width="9" style="104" customWidth="1"/>
    <col min="3082" max="3082" width="9.5703125" style="104" customWidth="1"/>
    <col min="3083" max="3083" width="8.85546875" style="104" customWidth="1"/>
    <col min="3084" max="3084" width="9.28515625" style="104" customWidth="1"/>
    <col min="3085" max="3085" width="7.7109375" style="104" customWidth="1"/>
    <col min="3086" max="3086" width="8.42578125" style="104" customWidth="1"/>
    <col min="3087" max="3087" width="9.85546875" style="104" customWidth="1"/>
    <col min="3088" max="3328" width="9.140625" style="104"/>
    <col min="3329" max="3329" width="6" style="104" customWidth="1"/>
    <col min="3330" max="3330" width="45" style="104" customWidth="1"/>
    <col min="3331" max="3331" width="7.7109375" style="104" customWidth="1"/>
    <col min="3332" max="3332" width="8.28515625" style="104" customWidth="1"/>
    <col min="3333" max="3333" width="8.85546875" style="104" customWidth="1"/>
    <col min="3334" max="3334" width="8.5703125" style="104" customWidth="1"/>
    <col min="3335" max="3335" width="7.7109375" style="104" customWidth="1"/>
    <col min="3336" max="3336" width="8.140625" style="104" customWidth="1"/>
    <col min="3337" max="3337" width="9" style="104" customWidth="1"/>
    <col min="3338" max="3338" width="9.5703125" style="104" customWidth="1"/>
    <col min="3339" max="3339" width="8.85546875" style="104" customWidth="1"/>
    <col min="3340" max="3340" width="9.28515625" style="104" customWidth="1"/>
    <col min="3341" max="3341" width="7.7109375" style="104" customWidth="1"/>
    <col min="3342" max="3342" width="8.42578125" style="104" customWidth="1"/>
    <col min="3343" max="3343" width="9.85546875" style="104" customWidth="1"/>
    <col min="3344" max="3584" width="9.140625" style="104"/>
    <col min="3585" max="3585" width="6" style="104" customWidth="1"/>
    <col min="3586" max="3586" width="45" style="104" customWidth="1"/>
    <col min="3587" max="3587" width="7.7109375" style="104" customWidth="1"/>
    <col min="3588" max="3588" width="8.28515625" style="104" customWidth="1"/>
    <col min="3589" max="3589" width="8.85546875" style="104" customWidth="1"/>
    <col min="3590" max="3590" width="8.5703125" style="104" customWidth="1"/>
    <col min="3591" max="3591" width="7.7109375" style="104" customWidth="1"/>
    <col min="3592" max="3592" width="8.140625" style="104" customWidth="1"/>
    <col min="3593" max="3593" width="9" style="104" customWidth="1"/>
    <col min="3594" max="3594" width="9.5703125" style="104" customWidth="1"/>
    <col min="3595" max="3595" width="8.85546875" style="104" customWidth="1"/>
    <col min="3596" max="3596" width="9.28515625" style="104" customWidth="1"/>
    <col min="3597" max="3597" width="7.7109375" style="104" customWidth="1"/>
    <col min="3598" max="3598" width="8.42578125" style="104" customWidth="1"/>
    <col min="3599" max="3599" width="9.85546875" style="104" customWidth="1"/>
    <col min="3600" max="3840" width="9.140625" style="104"/>
    <col min="3841" max="3841" width="6" style="104" customWidth="1"/>
    <col min="3842" max="3842" width="45" style="104" customWidth="1"/>
    <col min="3843" max="3843" width="7.7109375" style="104" customWidth="1"/>
    <col min="3844" max="3844" width="8.28515625" style="104" customWidth="1"/>
    <col min="3845" max="3845" width="8.85546875" style="104" customWidth="1"/>
    <col min="3846" max="3846" width="8.5703125" style="104" customWidth="1"/>
    <col min="3847" max="3847" width="7.7109375" style="104" customWidth="1"/>
    <col min="3848" max="3848" width="8.140625" style="104" customWidth="1"/>
    <col min="3849" max="3849" width="9" style="104" customWidth="1"/>
    <col min="3850" max="3850" width="9.5703125" style="104" customWidth="1"/>
    <col min="3851" max="3851" width="8.85546875" style="104" customWidth="1"/>
    <col min="3852" max="3852" width="9.28515625" style="104" customWidth="1"/>
    <col min="3853" max="3853" width="7.7109375" style="104" customWidth="1"/>
    <col min="3854" max="3854" width="8.42578125" style="104" customWidth="1"/>
    <col min="3855" max="3855" width="9.85546875" style="104" customWidth="1"/>
    <col min="3856" max="4096" width="9.140625" style="104"/>
    <col min="4097" max="4097" width="6" style="104" customWidth="1"/>
    <col min="4098" max="4098" width="45" style="104" customWidth="1"/>
    <col min="4099" max="4099" width="7.7109375" style="104" customWidth="1"/>
    <col min="4100" max="4100" width="8.28515625" style="104" customWidth="1"/>
    <col min="4101" max="4101" width="8.85546875" style="104" customWidth="1"/>
    <col min="4102" max="4102" width="8.5703125" style="104" customWidth="1"/>
    <col min="4103" max="4103" width="7.7109375" style="104" customWidth="1"/>
    <col min="4104" max="4104" width="8.140625" style="104" customWidth="1"/>
    <col min="4105" max="4105" width="9" style="104" customWidth="1"/>
    <col min="4106" max="4106" width="9.5703125" style="104" customWidth="1"/>
    <col min="4107" max="4107" width="8.85546875" style="104" customWidth="1"/>
    <col min="4108" max="4108" width="9.28515625" style="104" customWidth="1"/>
    <col min="4109" max="4109" width="7.7109375" style="104" customWidth="1"/>
    <col min="4110" max="4110" width="8.42578125" style="104" customWidth="1"/>
    <col min="4111" max="4111" width="9.85546875" style="104" customWidth="1"/>
    <col min="4112" max="4352" width="9.140625" style="104"/>
    <col min="4353" max="4353" width="6" style="104" customWidth="1"/>
    <col min="4354" max="4354" width="45" style="104" customWidth="1"/>
    <col min="4355" max="4355" width="7.7109375" style="104" customWidth="1"/>
    <col min="4356" max="4356" width="8.28515625" style="104" customWidth="1"/>
    <col min="4357" max="4357" width="8.85546875" style="104" customWidth="1"/>
    <col min="4358" max="4358" width="8.5703125" style="104" customWidth="1"/>
    <col min="4359" max="4359" width="7.7109375" style="104" customWidth="1"/>
    <col min="4360" max="4360" width="8.140625" style="104" customWidth="1"/>
    <col min="4361" max="4361" width="9" style="104" customWidth="1"/>
    <col min="4362" max="4362" width="9.5703125" style="104" customWidth="1"/>
    <col min="4363" max="4363" width="8.85546875" style="104" customWidth="1"/>
    <col min="4364" max="4364" width="9.28515625" style="104" customWidth="1"/>
    <col min="4365" max="4365" width="7.7109375" style="104" customWidth="1"/>
    <col min="4366" max="4366" width="8.42578125" style="104" customWidth="1"/>
    <col min="4367" max="4367" width="9.85546875" style="104" customWidth="1"/>
    <col min="4368" max="4608" width="9.140625" style="104"/>
    <col min="4609" max="4609" width="6" style="104" customWidth="1"/>
    <col min="4610" max="4610" width="45" style="104" customWidth="1"/>
    <col min="4611" max="4611" width="7.7109375" style="104" customWidth="1"/>
    <col min="4612" max="4612" width="8.28515625" style="104" customWidth="1"/>
    <col min="4613" max="4613" width="8.85546875" style="104" customWidth="1"/>
    <col min="4614" max="4614" width="8.5703125" style="104" customWidth="1"/>
    <col min="4615" max="4615" width="7.7109375" style="104" customWidth="1"/>
    <col min="4616" max="4616" width="8.140625" style="104" customWidth="1"/>
    <col min="4617" max="4617" width="9" style="104" customWidth="1"/>
    <col min="4618" max="4618" width="9.5703125" style="104" customWidth="1"/>
    <col min="4619" max="4619" width="8.85546875" style="104" customWidth="1"/>
    <col min="4620" max="4620" width="9.28515625" style="104" customWidth="1"/>
    <col min="4621" max="4621" width="7.7109375" style="104" customWidth="1"/>
    <col min="4622" max="4622" width="8.42578125" style="104" customWidth="1"/>
    <col min="4623" max="4623" width="9.85546875" style="104" customWidth="1"/>
    <col min="4624" max="4864" width="9.140625" style="104"/>
    <col min="4865" max="4865" width="6" style="104" customWidth="1"/>
    <col min="4866" max="4866" width="45" style="104" customWidth="1"/>
    <col min="4867" max="4867" width="7.7109375" style="104" customWidth="1"/>
    <col min="4868" max="4868" width="8.28515625" style="104" customWidth="1"/>
    <col min="4869" max="4869" width="8.85546875" style="104" customWidth="1"/>
    <col min="4870" max="4870" width="8.5703125" style="104" customWidth="1"/>
    <col min="4871" max="4871" width="7.7109375" style="104" customWidth="1"/>
    <col min="4872" max="4872" width="8.140625" style="104" customWidth="1"/>
    <col min="4873" max="4873" width="9" style="104" customWidth="1"/>
    <col min="4874" max="4874" width="9.5703125" style="104" customWidth="1"/>
    <col min="4875" max="4875" width="8.85546875" style="104" customWidth="1"/>
    <col min="4876" max="4876" width="9.28515625" style="104" customWidth="1"/>
    <col min="4877" max="4877" width="7.7109375" style="104" customWidth="1"/>
    <col min="4878" max="4878" width="8.42578125" style="104" customWidth="1"/>
    <col min="4879" max="4879" width="9.85546875" style="104" customWidth="1"/>
    <col min="4880" max="5120" width="9.140625" style="104"/>
    <col min="5121" max="5121" width="6" style="104" customWidth="1"/>
    <col min="5122" max="5122" width="45" style="104" customWidth="1"/>
    <col min="5123" max="5123" width="7.7109375" style="104" customWidth="1"/>
    <col min="5124" max="5124" width="8.28515625" style="104" customWidth="1"/>
    <col min="5125" max="5125" width="8.85546875" style="104" customWidth="1"/>
    <col min="5126" max="5126" width="8.5703125" style="104" customWidth="1"/>
    <col min="5127" max="5127" width="7.7109375" style="104" customWidth="1"/>
    <col min="5128" max="5128" width="8.140625" style="104" customWidth="1"/>
    <col min="5129" max="5129" width="9" style="104" customWidth="1"/>
    <col min="5130" max="5130" width="9.5703125" style="104" customWidth="1"/>
    <col min="5131" max="5131" width="8.85546875" style="104" customWidth="1"/>
    <col min="5132" max="5132" width="9.28515625" style="104" customWidth="1"/>
    <col min="5133" max="5133" width="7.7109375" style="104" customWidth="1"/>
    <col min="5134" max="5134" width="8.42578125" style="104" customWidth="1"/>
    <col min="5135" max="5135" width="9.85546875" style="104" customWidth="1"/>
    <col min="5136" max="5376" width="9.140625" style="104"/>
    <col min="5377" max="5377" width="6" style="104" customWidth="1"/>
    <col min="5378" max="5378" width="45" style="104" customWidth="1"/>
    <col min="5379" max="5379" width="7.7109375" style="104" customWidth="1"/>
    <col min="5380" max="5380" width="8.28515625" style="104" customWidth="1"/>
    <col min="5381" max="5381" width="8.85546875" style="104" customWidth="1"/>
    <col min="5382" max="5382" width="8.5703125" style="104" customWidth="1"/>
    <col min="5383" max="5383" width="7.7109375" style="104" customWidth="1"/>
    <col min="5384" max="5384" width="8.140625" style="104" customWidth="1"/>
    <col min="5385" max="5385" width="9" style="104" customWidth="1"/>
    <col min="5386" max="5386" width="9.5703125" style="104" customWidth="1"/>
    <col min="5387" max="5387" width="8.85546875" style="104" customWidth="1"/>
    <col min="5388" max="5388" width="9.28515625" style="104" customWidth="1"/>
    <col min="5389" max="5389" width="7.7109375" style="104" customWidth="1"/>
    <col min="5390" max="5390" width="8.42578125" style="104" customWidth="1"/>
    <col min="5391" max="5391" width="9.85546875" style="104" customWidth="1"/>
    <col min="5392" max="5632" width="9.140625" style="104"/>
    <col min="5633" max="5633" width="6" style="104" customWidth="1"/>
    <col min="5634" max="5634" width="45" style="104" customWidth="1"/>
    <col min="5635" max="5635" width="7.7109375" style="104" customWidth="1"/>
    <col min="5636" max="5636" width="8.28515625" style="104" customWidth="1"/>
    <col min="5637" max="5637" width="8.85546875" style="104" customWidth="1"/>
    <col min="5638" max="5638" width="8.5703125" style="104" customWidth="1"/>
    <col min="5639" max="5639" width="7.7109375" style="104" customWidth="1"/>
    <col min="5640" max="5640" width="8.140625" style="104" customWidth="1"/>
    <col min="5641" max="5641" width="9" style="104" customWidth="1"/>
    <col min="5642" max="5642" width="9.5703125" style="104" customWidth="1"/>
    <col min="5643" max="5643" width="8.85546875" style="104" customWidth="1"/>
    <col min="5644" max="5644" width="9.28515625" style="104" customWidth="1"/>
    <col min="5645" max="5645" width="7.7109375" style="104" customWidth="1"/>
    <col min="5646" max="5646" width="8.42578125" style="104" customWidth="1"/>
    <col min="5647" max="5647" width="9.85546875" style="104" customWidth="1"/>
    <col min="5648" max="5888" width="9.140625" style="104"/>
    <col min="5889" max="5889" width="6" style="104" customWidth="1"/>
    <col min="5890" max="5890" width="45" style="104" customWidth="1"/>
    <col min="5891" max="5891" width="7.7109375" style="104" customWidth="1"/>
    <col min="5892" max="5892" width="8.28515625" style="104" customWidth="1"/>
    <col min="5893" max="5893" width="8.85546875" style="104" customWidth="1"/>
    <col min="5894" max="5894" width="8.5703125" style="104" customWidth="1"/>
    <col min="5895" max="5895" width="7.7109375" style="104" customWidth="1"/>
    <col min="5896" max="5896" width="8.140625" style="104" customWidth="1"/>
    <col min="5897" max="5897" width="9" style="104" customWidth="1"/>
    <col min="5898" max="5898" width="9.5703125" style="104" customWidth="1"/>
    <col min="5899" max="5899" width="8.85546875" style="104" customWidth="1"/>
    <col min="5900" max="5900" width="9.28515625" style="104" customWidth="1"/>
    <col min="5901" max="5901" width="7.7109375" style="104" customWidth="1"/>
    <col min="5902" max="5902" width="8.42578125" style="104" customWidth="1"/>
    <col min="5903" max="5903" width="9.85546875" style="104" customWidth="1"/>
    <col min="5904" max="6144" width="9.140625" style="104"/>
    <col min="6145" max="6145" width="6" style="104" customWidth="1"/>
    <col min="6146" max="6146" width="45" style="104" customWidth="1"/>
    <col min="6147" max="6147" width="7.7109375" style="104" customWidth="1"/>
    <col min="6148" max="6148" width="8.28515625" style="104" customWidth="1"/>
    <col min="6149" max="6149" width="8.85546875" style="104" customWidth="1"/>
    <col min="6150" max="6150" width="8.5703125" style="104" customWidth="1"/>
    <col min="6151" max="6151" width="7.7109375" style="104" customWidth="1"/>
    <col min="6152" max="6152" width="8.140625" style="104" customWidth="1"/>
    <col min="6153" max="6153" width="9" style="104" customWidth="1"/>
    <col min="6154" max="6154" width="9.5703125" style="104" customWidth="1"/>
    <col min="6155" max="6155" width="8.85546875" style="104" customWidth="1"/>
    <col min="6156" max="6156" width="9.28515625" style="104" customWidth="1"/>
    <col min="6157" max="6157" width="7.7109375" style="104" customWidth="1"/>
    <col min="6158" max="6158" width="8.42578125" style="104" customWidth="1"/>
    <col min="6159" max="6159" width="9.85546875" style="104" customWidth="1"/>
    <col min="6160" max="6400" width="9.140625" style="104"/>
    <col min="6401" max="6401" width="6" style="104" customWidth="1"/>
    <col min="6402" max="6402" width="45" style="104" customWidth="1"/>
    <col min="6403" max="6403" width="7.7109375" style="104" customWidth="1"/>
    <col min="6404" max="6404" width="8.28515625" style="104" customWidth="1"/>
    <col min="6405" max="6405" width="8.85546875" style="104" customWidth="1"/>
    <col min="6406" max="6406" width="8.5703125" style="104" customWidth="1"/>
    <col min="6407" max="6407" width="7.7109375" style="104" customWidth="1"/>
    <col min="6408" max="6408" width="8.140625" style="104" customWidth="1"/>
    <col min="6409" max="6409" width="9" style="104" customWidth="1"/>
    <col min="6410" max="6410" width="9.5703125" style="104" customWidth="1"/>
    <col min="6411" max="6411" width="8.85546875" style="104" customWidth="1"/>
    <col min="6412" max="6412" width="9.28515625" style="104" customWidth="1"/>
    <col min="6413" max="6413" width="7.7109375" style="104" customWidth="1"/>
    <col min="6414" max="6414" width="8.42578125" style="104" customWidth="1"/>
    <col min="6415" max="6415" width="9.85546875" style="104" customWidth="1"/>
    <col min="6416" max="6656" width="9.140625" style="104"/>
    <col min="6657" max="6657" width="6" style="104" customWidth="1"/>
    <col min="6658" max="6658" width="45" style="104" customWidth="1"/>
    <col min="6659" max="6659" width="7.7109375" style="104" customWidth="1"/>
    <col min="6660" max="6660" width="8.28515625" style="104" customWidth="1"/>
    <col min="6661" max="6661" width="8.85546875" style="104" customWidth="1"/>
    <col min="6662" max="6662" width="8.5703125" style="104" customWidth="1"/>
    <col min="6663" max="6663" width="7.7109375" style="104" customWidth="1"/>
    <col min="6664" max="6664" width="8.140625" style="104" customWidth="1"/>
    <col min="6665" max="6665" width="9" style="104" customWidth="1"/>
    <col min="6666" max="6666" width="9.5703125" style="104" customWidth="1"/>
    <col min="6667" max="6667" width="8.85546875" style="104" customWidth="1"/>
    <col min="6668" max="6668" width="9.28515625" style="104" customWidth="1"/>
    <col min="6669" max="6669" width="7.7109375" style="104" customWidth="1"/>
    <col min="6670" max="6670" width="8.42578125" style="104" customWidth="1"/>
    <col min="6671" max="6671" width="9.85546875" style="104" customWidth="1"/>
    <col min="6672" max="6912" width="9.140625" style="104"/>
    <col min="6913" max="6913" width="6" style="104" customWidth="1"/>
    <col min="6914" max="6914" width="45" style="104" customWidth="1"/>
    <col min="6915" max="6915" width="7.7109375" style="104" customWidth="1"/>
    <col min="6916" max="6916" width="8.28515625" style="104" customWidth="1"/>
    <col min="6917" max="6917" width="8.85546875" style="104" customWidth="1"/>
    <col min="6918" max="6918" width="8.5703125" style="104" customWidth="1"/>
    <col min="6919" max="6919" width="7.7109375" style="104" customWidth="1"/>
    <col min="6920" max="6920" width="8.140625" style="104" customWidth="1"/>
    <col min="6921" max="6921" width="9" style="104" customWidth="1"/>
    <col min="6922" max="6922" width="9.5703125" style="104" customWidth="1"/>
    <col min="6923" max="6923" width="8.85546875" style="104" customWidth="1"/>
    <col min="6924" max="6924" width="9.28515625" style="104" customWidth="1"/>
    <col min="6925" max="6925" width="7.7109375" style="104" customWidth="1"/>
    <col min="6926" max="6926" width="8.42578125" style="104" customWidth="1"/>
    <col min="6927" max="6927" width="9.85546875" style="104" customWidth="1"/>
    <col min="6928" max="7168" width="9.140625" style="104"/>
    <col min="7169" max="7169" width="6" style="104" customWidth="1"/>
    <col min="7170" max="7170" width="45" style="104" customWidth="1"/>
    <col min="7171" max="7171" width="7.7109375" style="104" customWidth="1"/>
    <col min="7172" max="7172" width="8.28515625" style="104" customWidth="1"/>
    <col min="7173" max="7173" width="8.85546875" style="104" customWidth="1"/>
    <col min="7174" max="7174" width="8.5703125" style="104" customWidth="1"/>
    <col min="7175" max="7175" width="7.7109375" style="104" customWidth="1"/>
    <col min="7176" max="7176" width="8.140625" style="104" customWidth="1"/>
    <col min="7177" max="7177" width="9" style="104" customWidth="1"/>
    <col min="7178" max="7178" width="9.5703125" style="104" customWidth="1"/>
    <col min="7179" max="7179" width="8.85546875" style="104" customWidth="1"/>
    <col min="7180" max="7180" width="9.28515625" style="104" customWidth="1"/>
    <col min="7181" max="7181" width="7.7109375" style="104" customWidth="1"/>
    <col min="7182" max="7182" width="8.42578125" style="104" customWidth="1"/>
    <col min="7183" max="7183" width="9.85546875" style="104" customWidth="1"/>
    <col min="7184" max="7424" width="9.140625" style="104"/>
    <col min="7425" max="7425" width="6" style="104" customWidth="1"/>
    <col min="7426" max="7426" width="45" style="104" customWidth="1"/>
    <col min="7427" max="7427" width="7.7109375" style="104" customWidth="1"/>
    <col min="7428" max="7428" width="8.28515625" style="104" customWidth="1"/>
    <col min="7429" max="7429" width="8.85546875" style="104" customWidth="1"/>
    <col min="7430" max="7430" width="8.5703125" style="104" customWidth="1"/>
    <col min="7431" max="7431" width="7.7109375" style="104" customWidth="1"/>
    <col min="7432" max="7432" width="8.140625" style="104" customWidth="1"/>
    <col min="7433" max="7433" width="9" style="104" customWidth="1"/>
    <col min="7434" max="7434" width="9.5703125" style="104" customWidth="1"/>
    <col min="7435" max="7435" width="8.85546875" style="104" customWidth="1"/>
    <col min="7436" max="7436" width="9.28515625" style="104" customWidth="1"/>
    <col min="7437" max="7437" width="7.7109375" style="104" customWidth="1"/>
    <col min="7438" max="7438" width="8.42578125" style="104" customWidth="1"/>
    <col min="7439" max="7439" width="9.85546875" style="104" customWidth="1"/>
    <col min="7440" max="7680" width="9.140625" style="104"/>
    <col min="7681" max="7681" width="6" style="104" customWidth="1"/>
    <col min="7682" max="7682" width="45" style="104" customWidth="1"/>
    <col min="7683" max="7683" width="7.7109375" style="104" customWidth="1"/>
    <col min="7684" max="7684" width="8.28515625" style="104" customWidth="1"/>
    <col min="7685" max="7685" width="8.85546875" style="104" customWidth="1"/>
    <col min="7686" max="7686" width="8.5703125" style="104" customWidth="1"/>
    <col min="7687" max="7687" width="7.7109375" style="104" customWidth="1"/>
    <col min="7688" max="7688" width="8.140625" style="104" customWidth="1"/>
    <col min="7689" max="7689" width="9" style="104" customWidth="1"/>
    <col min="7690" max="7690" width="9.5703125" style="104" customWidth="1"/>
    <col min="7691" max="7691" width="8.85546875" style="104" customWidth="1"/>
    <col min="7692" max="7692" width="9.28515625" style="104" customWidth="1"/>
    <col min="7693" max="7693" width="7.7109375" style="104" customWidth="1"/>
    <col min="7694" max="7694" width="8.42578125" style="104" customWidth="1"/>
    <col min="7695" max="7695" width="9.85546875" style="104" customWidth="1"/>
    <col min="7696" max="7936" width="9.140625" style="104"/>
    <col min="7937" max="7937" width="6" style="104" customWidth="1"/>
    <col min="7938" max="7938" width="45" style="104" customWidth="1"/>
    <col min="7939" max="7939" width="7.7109375" style="104" customWidth="1"/>
    <col min="7940" max="7940" width="8.28515625" style="104" customWidth="1"/>
    <col min="7941" max="7941" width="8.85546875" style="104" customWidth="1"/>
    <col min="7942" max="7942" width="8.5703125" style="104" customWidth="1"/>
    <col min="7943" max="7943" width="7.7109375" style="104" customWidth="1"/>
    <col min="7944" max="7944" width="8.140625" style="104" customWidth="1"/>
    <col min="7945" max="7945" width="9" style="104" customWidth="1"/>
    <col min="7946" max="7946" width="9.5703125" style="104" customWidth="1"/>
    <col min="7947" max="7947" width="8.85546875" style="104" customWidth="1"/>
    <col min="7948" max="7948" width="9.28515625" style="104" customWidth="1"/>
    <col min="7949" max="7949" width="7.7109375" style="104" customWidth="1"/>
    <col min="7950" max="7950" width="8.42578125" style="104" customWidth="1"/>
    <col min="7951" max="7951" width="9.85546875" style="104" customWidth="1"/>
    <col min="7952" max="8192" width="9.140625" style="104"/>
    <col min="8193" max="8193" width="6" style="104" customWidth="1"/>
    <col min="8194" max="8194" width="45" style="104" customWidth="1"/>
    <col min="8195" max="8195" width="7.7109375" style="104" customWidth="1"/>
    <col min="8196" max="8196" width="8.28515625" style="104" customWidth="1"/>
    <col min="8197" max="8197" width="8.85546875" style="104" customWidth="1"/>
    <col min="8198" max="8198" width="8.5703125" style="104" customWidth="1"/>
    <col min="8199" max="8199" width="7.7109375" style="104" customWidth="1"/>
    <col min="8200" max="8200" width="8.140625" style="104" customWidth="1"/>
    <col min="8201" max="8201" width="9" style="104" customWidth="1"/>
    <col min="8202" max="8202" width="9.5703125" style="104" customWidth="1"/>
    <col min="8203" max="8203" width="8.85546875" style="104" customWidth="1"/>
    <col min="8204" max="8204" width="9.28515625" style="104" customWidth="1"/>
    <col min="8205" max="8205" width="7.7109375" style="104" customWidth="1"/>
    <col min="8206" max="8206" width="8.42578125" style="104" customWidth="1"/>
    <col min="8207" max="8207" width="9.85546875" style="104" customWidth="1"/>
    <col min="8208" max="8448" width="9.140625" style="104"/>
    <col min="8449" max="8449" width="6" style="104" customWidth="1"/>
    <col min="8450" max="8450" width="45" style="104" customWidth="1"/>
    <col min="8451" max="8451" width="7.7109375" style="104" customWidth="1"/>
    <col min="8452" max="8452" width="8.28515625" style="104" customWidth="1"/>
    <col min="8453" max="8453" width="8.85546875" style="104" customWidth="1"/>
    <col min="8454" max="8454" width="8.5703125" style="104" customWidth="1"/>
    <col min="8455" max="8455" width="7.7109375" style="104" customWidth="1"/>
    <col min="8456" max="8456" width="8.140625" style="104" customWidth="1"/>
    <col min="8457" max="8457" width="9" style="104" customWidth="1"/>
    <col min="8458" max="8458" width="9.5703125" style="104" customWidth="1"/>
    <col min="8459" max="8459" width="8.85546875" style="104" customWidth="1"/>
    <col min="8460" max="8460" width="9.28515625" style="104" customWidth="1"/>
    <col min="8461" max="8461" width="7.7109375" style="104" customWidth="1"/>
    <col min="8462" max="8462" width="8.42578125" style="104" customWidth="1"/>
    <col min="8463" max="8463" width="9.85546875" style="104" customWidth="1"/>
    <col min="8464" max="8704" width="9.140625" style="104"/>
    <col min="8705" max="8705" width="6" style="104" customWidth="1"/>
    <col min="8706" max="8706" width="45" style="104" customWidth="1"/>
    <col min="8707" max="8707" width="7.7109375" style="104" customWidth="1"/>
    <col min="8708" max="8708" width="8.28515625" style="104" customWidth="1"/>
    <col min="8709" max="8709" width="8.85546875" style="104" customWidth="1"/>
    <col min="8710" max="8710" width="8.5703125" style="104" customWidth="1"/>
    <col min="8711" max="8711" width="7.7109375" style="104" customWidth="1"/>
    <col min="8712" max="8712" width="8.140625" style="104" customWidth="1"/>
    <col min="8713" max="8713" width="9" style="104" customWidth="1"/>
    <col min="8714" max="8714" width="9.5703125" style="104" customWidth="1"/>
    <col min="8715" max="8715" width="8.85546875" style="104" customWidth="1"/>
    <col min="8716" max="8716" width="9.28515625" style="104" customWidth="1"/>
    <col min="8717" max="8717" width="7.7109375" style="104" customWidth="1"/>
    <col min="8718" max="8718" width="8.42578125" style="104" customWidth="1"/>
    <col min="8719" max="8719" width="9.85546875" style="104" customWidth="1"/>
    <col min="8720" max="8960" width="9.140625" style="104"/>
    <col min="8961" max="8961" width="6" style="104" customWidth="1"/>
    <col min="8962" max="8962" width="45" style="104" customWidth="1"/>
    <col min="8963" max="8963" width="7.7109375" style="104" customWidth="1"/>
    <col min="8964" max="8964" width="8.28515625" style="104" customWidth="1"/>
    <col min="8965" max="8965" width="8.85546875" style="104" customWidth="1"/>
    <col min="8966" max="8966" width="8.5703125" style="104" customWidth="1"/>
    <col min="8967" max="8967" width="7.7109375" style="104" customWidth="1"/>
    <col min="8968" max="8968" width="8.140625" style="104" customWidth="1"/>
    <col min="8969" max="8969" width="9" style="104" customWidth="1"/>
    <col min="8970" max="8970" width="9.5703125" style="104" customWidth="1"/>
    <col min="8971" max="8971" width="8.85546875" style="104" customWidth="1"/>
    <col min="8972" max="8972" width="9.28515625" style="104" customWidth="1"/>
    <col min="8973" max="8973" width="7.7109375" style="104" customWidth="1"/>
    <col min="8974" max="8974" width="8.42578125" style="104" customWidth="1"/>
    <col min="8975" max="8975" width="9.85546875" style="104" customWidth="1"/>
    <col min="8976" max="9216" width="9.140625" style="104"/>
    <col min="9217" max="9217" width="6" style="104" customWidth="1"/>
    <col min="9218" max="9218" width="45" style="104" customWidth="1"/>
    <col min="9219" max="9219" width="7.7109375" style="104" customWidth="1"/>
    <col min="9220" max="9220" width="8.28515625" style="104" customWidth="1"/>
    <col min="9221" max="9221" width="8.85546875" style="104" customWidth="1"/>
    <col min="9222" max="9222" width="8.5703125" style="104" customWidth="1"/>
    <col min="9223" max="9223" width="7.7109375" style="104" customWidth="1"/>
    <col min="9224" max="9224" width="8.140625" style="104" customWidth="1"/>
    <col min="9225" max="9225" width="9" style="104" customWidth="1"/>
    <col min="9226" max="9226" width="9.5703125" style="104" customWidth="1"/>
    <col min="9227" max="9227" width="8.85546875" style="104" customWidth="1"/>
    <col min="9228" max="9228" width="9.28515625" style="104" customWidth="1"/>
    <col min="9229" max="9229" width="7.7109375" style="104" customWidth="1"/>
    <col min="9230" max="9230" width="8.42578125" style="104" customWidth="1"/>
    <col min="9231" max="9231" width="9.85546875" style="104" customWidth="1"/>
    <col min="9232" max="9472" width="9.140625" style="104"/>
    <col min="9473" max="9473" width="6" style="104" customWidth="1"/>
    <col min="9474" max="9474" width="45" style="104" customWidth="1"/>
    <col min="9475" max="9475" width="7.7109375" style="104" customWidth="1"/>
    <col min="9476" max="9476" width="8.28515625" style="104" customWidth="1"/>
    <col min="9477" max="9477" width="8.85546875" style="104" customWidth="1"/>
    <col min="9478" max="9478" width="8.5703125" style="104" customWidth="1"/>
    <col min="9479" max="9479" width="7.7109375" style="104" customWidth="1"/>
    <col min="9480" max="9480" width="8.140625" style="104" customWidth="1"/>
    <col min="9481" max="9481" width="9" style="104" customWidth="1"/>
    <col min="9482" max="9482" width="9.5703125" style="104" customWidth="1"/>
    <col min="9483" max="9483" width="8.85546875" style="104" customWidth="1"/>
    <col min="9484" max="9484" width="9.28515625" style="104" customWidth="1"/>
    <col min="9485" max="9485" width="7.7109375" style="104" customWidth="1"/>
    <col min="9486" max="9486" width="8.42578125" style="104" customWidth="1"/>
    <col min="9487" max="9487" width="9.85546875" style="104" customWidth="1"/>
    <col min="9488" max="9728" width="9.140625" style="104"/>
    <col min="9729" max="9729" width="6" style="104" customWidth="1"/>
    <col min="9730" max="9730" width="45" style="104" customWidth="1"/>
    <col min="9731" max="9731" width="7.7109375" style="104" customWidth="1"/>
    <col min="9732" max="9732" width="8.28515625" style="104" customWidth="1"/>
    <col min="9733" max="9733" width="8.85546875" style="104" customWidth="1"/>
    <col min="9734" max="9734" width="8.5703125" style="104" customWidth="1"/>
    <col min="9735" max="9735" width="7.7109375" style="104" customWidth="1"/>
    <col min="9736" max="9736" width="8.140625" style="104" customWidth="1"/>
    <col min="9737" max="9737" width="9" style="104" customWidth="1"/>
    <col min="9738" max="9738" width="9.5703125" style="104" customWidth="1"/>
    <col min="9739" max="9739" width="8.85546875" style="104" customWidth="1"/>
    <col min="9740" max="9740" width="9.28515625" style="104" customWidth="1"/>
    <col min="9741" max="9741" width="7.7109375" style="104" customWidth="1"/>
    <col min="9742" max="9742" width="8.42578125" style="104" customWidth="1"/>
    <col min="9743" max="9743" width="9.85546875" style="104" customWidth="1"/>
    <col min="9744" max="9984" width="9.140625" style="104"/>
    <col min="9985" max="9985" width="6" style="104" customWidth="1"/>
    <col min="9986" max="9986" width="45" style="104" customWidth="1"/>
    <col min="9987" max="9987" width="7.7109375" style="104" customWidth="1"/>
    <col min="9988" max="9988" width="8.28515625" style="104" customWidth="1"/>
    <col min="9989" max="9989" width="8.85546875" style="104" customWidth="1"/>
    <col min="9990" max="9990" width="8.5703125" style="104" customWidth="1"/>
    <col min="9991" max="9991" width="7.7109375" style="104" customWidth="1"/>
    <col min="9992" max="9992" width="8.140625" style="104" customWidth="1"/>
    <col min="9993" max="9993" width="9" style="104" customWidth="1"/>
    <col min="9994" max="9994" width="9.5703125" style="104" customWidth="1"/>
    <col min="9995" max="9995" width="8.85546875" style="104" customWidth="1"/>
    <col min="9996" max="9996" width="9.28515625" style="104" customWidth="1"/>
    <col min="9997" max="9997" width="7.7109375" style="104" customWidth="1"/>
    <col min="9998" max="9998" width="8.42578125" style="104" customWidth="1"/>
    <col min="9999" max="9999" width="9.85546875" style="104" customWidth="1"/>
    <col min="10000" max="10240" width="9.140625" style="104"/>
    <col min="10241" max="10241" width="6" style="104" customWidth="1"/>
    <col min="10242" max="10242" width="45" style="104" customWidth="1"/>
    <col min="10243" max="10243" width="7.7109375" style="104" customWidth="1"/>
    <col min="10244" max="10244" width="8.28515625" style="104" customWidth="1"/>
    <col min="10245" max="10245" width="8.85546875" style="104" customWidth="1"/>
    <col min="10246" max="10246" width="8.5703125" style="104" customWidth="1"/>
    <col min="10247" max="10247" width="7.7109375" style="104" customWidth="1"/>
    <col min="10248" max="10248" width="8.140625" style="104" customWidth="1"/>
    <col min="10249" max="10249" width="9" style="104" customWidth="1"/>
    <col min="10250" max="10250" width="9.5703125" style="104" customWidth="1"/>
    <col min="10251" max="10251" width="8.85546875" style="104" customWidth="1"/>
    <col min="10252" max="10252" width="9.28515625" style="104" customWidth="1"/>
    <col min="10253" max="10253" width="7.7109375" style="104" customWidth="1"/>
    <col min="10254" max="10254" width="8.42578125" style="104" customWidth="1"/>
    <col min="10255" max="10255" width="9.85546875" style="104" customWidth="1"/>
    <col min="10256" max="10496" width="9.140625" style="104"/>
    <col min="10497" max="10497" width="6" style="104" customWidth="1"/>
    <col min="10498" max="10498" width="45" style="104" customWidth="1"/>
    <col min="10499" max="10499" width="7.7109375" style="104" customWidth="1"/>
    <col min="10500" max="10500" width="8.28515625" style="104" customWidth="1"/>
    <col min="10501" max="10501" width="8.85546875" style="104" customWidth="1"/>
    <col min="10502" max="10502" width="8.5703125" style="104" customWidth="1"/>
    <col min="10503" max="10503" width="7.7109375" style="104" customWidth="1"/>
    <col min="10504" max="10504" width="8.140625" style="104" customWidth="1"/>
    <col min="10505" max="10505" width="9" style="104" customWidth="1"/>
    <col min="10506" max="10506" width="9.5703125" style="104" customWidth="1"/>
    <col min="10507" max="10507" width="8.85546875" style="104" customWidth="1"/>
    <col min="10508" max="10508" width="9.28515625" style="104" customWidth="1"/>
    <col min="10509" max="10509" width="7.7109375" style="104" customWidth="1"/>
    <col min="10510" max="10510" width="8.42578125" style="104" customWidth="1"/>
    <col min="10511" max="10511" width="9.85546875" style="104" customWidth="1"/>
    <col min="10512" max="10752" width="9.140625" style="104"/>
    <col min="10753" max="10753" width="6" style="104" customWidth="1"/>
    <col min="10754" max="10754" width="45" style="104" customWidth="1"/>
    <col min="10755" max="10755" width="7.7109375" style="104" customWidth="1"/>
    <col min="10756" max="10756" width="8.28515625" style="104" customWidth="1"/>
    <col min="10757" max="10757" width="8.85546875" style="104" customWidth="1"/>
    <col min="10758" max="10758" width="8.5703125" style="104" customWidth="1"/>
    <col min="10759" max="10759" width="7.7109375" style="104" customWidth="1"/>
    <col min="10760" max="10760" width="8.140625" style="104" customWidth="1"/>
    <col min="10761" max="10761" width="9" style="104" customWidth="1"/>
    <col min="10762" max="10762" width="9.5703125" style="104" customWidth="1"/>
    <col min="10763" max="10763" width="8.85546875" style="104" customWidth="1"/>
    <col min="10764" max="10764" width="9.28515625" style="104" customWidth="1"/>
    <col min="10765" max="10765" width="7.7109375" style="104" customWidth="1"/>
    <col min="10766" max="10766" width="8.42578125" style="104" customWidth="1"/>
    <col min="10767" max="10767" width="9.85546875" style="104" customWidth="1"/>
    <col min="10768" max="11008" width="9.140625" style="104"/>
    <col min="11009" max="11009" width="6" style="104" customWidth="1"/>
    <col min="11010" max="11010" width="45" style="104" customWidth="1"/>
    <col min="11011" max="11011" width="7.7109375" style="104" customWidth="1"/>
    <col min="11012" max="11012" width="8.28515625" style="104" customWidth="1"/>
    <col min="11013" max="11013" width="8.85546875" style="104" customWidth="1"/>
    <col min="11014" max="11014" width="8.5703125" style="104" customWidth="1"/>
    <col min="11015" max="11015" width="7.7109375" style="104" customWidth="1"/>
    <col min="11016" max="11016" width="8.140625" style="104" customWidth="1"/>
    <col min="11017" max="11017" width="9" style="104" customWidth="1"/>
    <col min="11018" max="11018" width="9.5703125" style="104" customWidth="1"/>
    <col min="11019" max="11019" width="8.85546875" style="104" customWidth="1"/>
    <col min="11020" max="11020" width="9.28515625" style="104" customWidth="1"/>
    <col min="11021" max="11021" width="7.7109375" style="104" customWidth="1"/>
    <col min="11022" max="11022" width="8.42578125" style="104" customWidth="1"/>
    <col min="11023" max="11023" width="9.85546875" style="104" customWidth="1"/>
    <col min="11024" max="11264" width="9.140625" style="104"/>
    <col min="11265" max="11265" width="6" style="104" customWidth="1"/>
    <col min="11266" max="11266" width="45" style="104" customWidth="1"/>
    <col min="11267" max="11267" width="7.7109375" style="104" customWidth="1"/>
    <col min="11268" max="11268" width="8.28515625" style="104" customWidth="1"/>
    <col min="11269" max="11269" width="8.85546875" style="104" customWidth="1"/>
    <col min="11270" max="11270" width="8.5703125" style="104" customWidth="1"/>
    <col min="11271" max="11271" width="7.7109375" style="104" customWidth="1"/>
    <col min="11272" max="11272" width="8.140625" style="104" customWidth="1"/>
    <col min="11273" max="11273" width="9" style="104" customWidth="1"/>
    <col min="11274" max="11274" width="9.5703125" style="104" customWidth="1"/>
    <col min="11275" max="11275" width="8.85546875" style="104" customWidth="1"/>
    <col min="11276" max="11276" width="9.28515625" style="104" customWidth="1"/>
    <col min="11277" max="11277" width="7.7109375" style="104" customWidth="1"/>
    <col min="11278" max="11278" width="8.42578125" style="104" customWidth="1"/>
    <col min="11279" max="11279" width="9.85546875" style="104" customWidth="1"/>
    <col min="11280" max="11520" width="9.140625" style="104"/>
    <col min="11521" max="11521" width="6" style="104" customWidth="1"/>
    <col min="11522" max="11522" width="45" style="104" customWidth="1"/>
    <col min="11523" max="11523" width="7.7109375" style="104" customWidth="1"/>
    <col min="11524" max="11524" width="8.28515625" style="104" customWidth="1"/>
    <col min="11525" max="11525" width="8.85546875" style="104" customWidth="1"/>
    <col min="11526" max="11526" width="8.5703125" style="104" customWidth="1"/>
    <col min="11527" max="11527" width="7.7109375" style="104" customWidth="1"/>
    <col min="11528" max="11528" width="8.140625" style="104" customWidth="1"/>
    <col min="11529" max="11529" width="9" style="104" customWidth="1"/>
    <col min="11530" max="11530" width="9.5703125" style="104" customWidth="1"/>
    <col min="11531" max="11531" width="8.85546875" style="104" customWidth="1"/>
    <col min="11532" max="11532" width="9.28515625" style="104" customWidth="1"/>
    <col min="11533" max="11533" width="7.7109375" style="104" customWidth="1"/>
    <col min="11534" max="11534" width="8.42578125" style="104" customWidth="1"/>
    <col min="11535" max="11535" width="9.85546875" style="104" customWidth="1"/>
    <col min="11536" max="11776" width="9.140625" style="104"/>
    <col min="11777" max="11777" width="6" style="104" customWidth="1"/>
    <col min="11778" max="11778" width="45" style="104" customWidth="1"/>
    <col min="11779" max="11779" width="7.7109375" style="104" customWidth="1"/>
    <col min="11780" max="11780" width="8.28515625" style="104" customWidth="1"/>
    <col min="11781" max="11781" width="8.85546875" style="104" customWidth="1"/>
    <col min="11782" max="11782" width="8.5703125" style="104" customWidth="1"/>
    <col min="11783" max="11783" width="7.7109375" style="104" customWidth="1"/>
    <col min="11784" max="11784" width="8.140625" style="104" customWidth="1"/>
    <col min="11785" max="11785" width="9" style="104" customWidth="1"/>
    <col min="11786" max="11786" width="9.5703125" style="104" customWidth="1"/>
    <col min="11787" max="11787" width="8.85546875" style="104" customWidth="1"/>
    <col min="11788" max="11788" width="9.28515625" style="104" customWidth="1"/>
    <col min="11789" max="11789" width="7.7109375" style="104" customWidth="1"/>
    <col min="11790" max="11790" width="8.42578125" style="104" customWidth="1"/>
    <col min="11791" max="11791" width="9.85546875" style="104" customWidth="1"/>
    <col min="11792" max="12032" width="9.140625" style="104"/>
    <col min="12033" max="12033" width="6" style="104" customWidth="1"/>
    <col min="12034" max="12034" width="45" style="104" customWidth="1"/>
    <col min="12035" max="12035" width="7.7109375" style="104" customWidth="1"/>
    <col min="12036" max="12036" width="8.28515625" style="104" customWidth="1"/>
    <col min="12037" max="12037" width="8.85546875" style="104" customWidth="1"/>
    <col min="12038" max="12038" width="8.5703125" style="104" customWidth="1"/>
    <col min="12039" max="12039" width="7.7109375" style="104" customWidth="1"/>
    <col min="12040" max="12040" width="8.140625" style="104" customWidth="1"/>
    <col min="12041" max="12041" width="9" style="104" customWidth="1"/>
    <col min="12042" max="12042" width="9.5703125" style="104" customWidth="1"/>
    <col min="12043" max="12043" width="8.85546875" style="104" customWidth="1"/>
    <col min="12044" max="12044" width="9.28515625" style="104" customWidth="1"/>
    <col min="12045" max="12045" width="7.7109375" style="104" customWidth="1"/>
    <col min="12046" max="12046" width="8.42578125" style="104" customWidth="1"/>
    <col min="12047" max="12047" width="9.85546875" style="104" customWidth="1"/>
    <col min="12048" max="12288" width="9.140625" style="104"/>
    <col min="12289" max="12289" width="6" style="104" customWidth="1"/>
    <col min="12290" max="12290" width="45" style="104" customWidth="1"/>
    <col min="12291" max="12291" width="7.7109375" style="104" customWidth="1"/>
    <col min="12292" max="12292" width="8.28515625" style="104" customWidth="1"/>
    <col min="12293" max="12293" width="8.85546875" style="104" customWidth="1"/>
    <col min="12294" max="12294" width="8.5703125" style="104" customWidth="1"/>
    <col min="12295" max="12295" width="7.7109375" style="104" customWidth="1"/>
    <col min="12296" max="12296" width="8.140625" style="104" customWidth="1"/>
    <col min="12297" max="12297" width="9" style="104" customWidth="1"/>
    <col min="12298" max="12298" width="9.5703125" style="104" customWidth="1"/>
    <col min="12299" max="12299" width="8.85546875" style="104" customWidth="1"/>
    <col min="12300" max="12300" width="9.28515625" style="104" customWidth="1"/>
    <col min="12301" max="12301" width="7.7109375" style="104" customWidth="1"/>
    <col min="12302" max="12302" width="8.42578125" style="104" customWidth="1"/>
    <col min="12303" max="12303" width="9.85546875" style="104" customWidth="1"/>
    <col min="12304" max="12544" width="9.140625" style="104"/>
    <col min="12545" max="12545" width="6" style="104" customWidth="1"/>
    <col min="12546" max="12546" width="45" style="104" customWidth="1"/>
    <col min="12547" max="12547" width="7.7109375" style="104" customWidth="1"/>
    <col min="12548" max="12548" width="8.28515625" style="104" customWidth="1"/>
    <col min="12549" max="12549" width="8.85546875" style="104" customWidth="1"/>
    <col min="12550" max="12550" width="8.5703125" style="104" customWidth="1"/>
    <col min="12551" max="12551" width="7.7109375" style="104" customWidth="1"/>
    <col min="12552" max="12552" width="8.140625" style="104" customWidth="1"/>
    <col min="12553" max="12553" width="9" style="104" customWidth="1"/>
    <col min="12554" max="12554" width="9.5703125" style="104" customWidth="1"/>
    <col min="12555" max="12555" width="8.85546875" style="104" customWidth="1"/>
    <col min="12556" max="12556" width="9.28515625" style="104" customWidth="1"/>
    <col min="12557" max="12557" width="7.7109375" style="104" customWidth="1"/>
    <col min="12558" max="12558" width="8.42578125" style="104" customWidth="1"/>
    <col min="12559" max="12559" width="9.85546875" style="104" customWidth="1"/>
    <col min="12560" max="12800" width="9.140625" style="104"/>
    <col min="12801" max="12801" width="6" style="104" customWidth="1"/>
    <col min="12802" max="12802" width="45" style="104" customWidth="1"/>
    <col min="12803" max="12803" width="7.7109375" style="104" customWidth="1"/>
    <col min="12804" max="12804" width="8.28515625" style="104" customWidth="1"/>
    <col min="12805" max="12805" width="8.85546875" style="104" customWidth="1"/>
    <col min="12806" max="12806" width="8.5703125" style="104" customWidth="1"/>
    <col min="12807" max="12807" width="7.7109375" style="104" customWidth="1"/>
    <col min="12808" max="12808" width="8.140625" style="104" customWidth="1"/>
    <col min="12809" max="12809" width="9" style="104" customWidth="1"/>
    <col min="12810" max="12810" width="9.5703125" style="104" customWidth="1"/>
    <col min="12811" max="12811" width="8.85546875" style="104" customWidth="1"/>
    <col min="12812" max="12812" width="9.28515625" style="104" customWidth="1"/>
    <col min="12813" max="12813" width="7.7109375" style="104" customWidth="1"/>
    <col min="12814" max="12814" width="8.42578125" style="104" customWidth="1"/>
    <col min="12815" max="12815" width="9.85546875" style="104" customWidth="1"/>
    <col min="12816" max="13056" width="9.140625" style="104"/>
    <col min="13057" max="13057" width="6" style="104" customWidth="1"/>
    <col min="13058" max="13058" width="45" style="104" customWidth="1"/>
    <col min="13059" max="13059" width="7.7109375" style="104" customWidth="1"/>
    <col min="13060" max="13060" width="8.28515625" style="104" customWidth="1"/>
    <col min="13061" max="13061" width="8.85546875" style="104" customWidth="1"/>
    <col min="13062" max="13062" width="8.5703125" style="104" customWidth="1"/>
    <col min="13063" max="13063" width="7.7109375" style="104" customWidth="1"/>
    <col min="13064" max="13064" width="8.140625" style="104" customWidth="1"/>
    <col min="13065" max="13065" width="9" style="104" customWidth="1"/>
    <col min="13066" max="13066" width="9.5703125" style="104" customWidth="1"/>
    <col min="13067" max="13067" width="8.85546875" style="104" customWidth="1"/>
    <col min="13068" max="13068" width="9.28515625" style="104" customWidth="1"/>
    <col min="13069" max="13069" width="7.7109375" style="104" customWidth="1"/>
    <col min="13070" max="13070" width="8.42578125" style="104" customWidth="1"/>
    <col min="13071" max="13071" width="9.85546875" style="104" customWidth="1"/>
    <col min="13072" max="13312" width="9.140625" style="104"/>
    <col min="13313" max="13313" width="6" style="104" customWidth="1"/>
    <col min="13314" max="13314" width="45" style="104" customWidth="1"/>
    <col min="13315" max="13315" width="7.7109375" style="104" customWidth="1"/>
    <col min="13316" max="13316" width="8.28515625" style="104" customWidth="1"/>
    <col min="13317" max="13317" width="8.85546875" style="104" customWidth="1"/>
    <col min="13318" max="13318" width="8.5703125" style="104" customWidth="1"/>
    <col min="13319" max="13319" width="7.7109375" style="104" customWidth="1"/>
    <col min="13320" max="13320" width="8.140625" style="104" customWidth="1"/>
    <col min="13321" max="13321" width="9" style="104" customWidth="1"/>
    <col min="13322" max="13322" width="9.5703125" style="104" customWidth="1"/>
    <col min="13323" max="13323" width="8.85546875" style="104" customWidth="1"/>
    <col min="13324" max="13324" width="9.28515625" style="104" customWidth="1"/>
    <col min="13325" max="13325" width="7.7109375" style="104" customWidth="1"/>
    <col min="13326" max="13326" width="8.42578125" style="104" customWidth="1"/>
    <col min="13327" max="13327" width="9.85546875" style="104" customWidth="1"/>
    <col min="13328" max="13568" width="9.140625" style="104"/>
    <col min="13569" max="13569" width="6" style="104" customWidth="1"/>
    <col min="13570" max="13570" width="45" style="104" customWidth="1"/>
    <col min="13571" max="13571" width="7.7109375" style="104" customWidth="1"/>
    <col min="13572" max="13572" width="8.28515625" style="104" customWidth="1"/>
    <col min="13573" max="13573" width="8.85546875" style="104" customWidth="1"/>
    <col min="13574" max="13574" width="8.5703125" style="104" customWidth="1"/>
    <col min="13575" max="13575" width="7.7109375" style="104" customWidth="1"/>
    <col min="13576" max="13576" width="8.140625" style="104" customWidth="1"/>
    <col min="13577" max="13577" width="9" style="104" customWidth="1"/>
    <col min="13578" max="13578" width="9.5703125" style="104" customWidth="1"/>
    <col min="13579" max="13579" width="8.85546875" style="104" customWidth="1"/>
    <col min="13580" max="13580" width="9.28515625" style="104" customWidth="1"/>
    <col min="13581" max="13581" width="7.7109375" style="104" customWidth="1"/>
    <col min="13582" max="13582" width="8.42578125" style="104" customWidth="1"/>
    <col min="13583" max="13583" width="9.85546875" style="104" customWidth="1"/>
    <col min="13584" max="13824" width="9.140625" style="104"/>
    <col min="13825" max="13825" width="6" style="104" customWidth="1"/>
    <col min="13826" max="13826" width="45" style="104" customWidth="1"/>
    <col min="13827" max="13827" width="7.7109375" style="104" customWidth="1"/>
    <col min="13828" max="13828" width="8.28515625" style="104" customWidth="1"/>
    <col min="13829" max="13829" width="8.85546875" style="104" customWidth="1"/>
    <col min="13830" max="13830" width="8.5703125" style="104" customWidth="1"/>
    <col min="13831" max="13831" width="7.7109375" style="104" customWidth="1"/>
    <col min="13832" max="13832" width="8.140625" style="104" customWidth="1"/>
    <col min="13833" max="13833" width="9" style="104" customWidth="1"/>
    <col min="13834" max="13834" width="9.5703125" style="104" customWidth="1"/>
    <col min="13835" max="13835" width="8.85546875" style="104" customWidth="1"/>
    <col min="13836" max="13836" width="9.28515625" style="104" customWidth="1"/>
    <col min="13837" max="13837" width="7.7109375" style="104" customWidth="1"/>
    <col min="13838" max="13838" width="8.42578125" style="104" customWidth="1"/>
    <col min="13839" max="13839" width="9.85546875" style="104" customWidth="1"/>
    <col min="13840" max="14080" width="9.140625" style="104"/>
    <col min="14081" max="14081" width="6" style="104" customWidth="1"/>
    <col min="14082" max="14082" width="45" style="104" customWidth="1"/>
    <col min="14083" max="14083" width="7.7109375" style="104" customWidth="1"/>
    <col min="14084" max="14084" width="8.28515625" style="104" customWidth="1"/>
    <col min="14085" max="14085" width="8.85546875" style="104" customWidth="1"/>
    <col min="14086" max="14086" width="8.5703125" style="104" customWidth="1"/>
    <col min="14087" max="14087" width="7.7109375" style="104" customWidth="1"/>
    <col min="14088" max="14088" width="8.140625" style="104" customWidth="1"/>
    <col min="14089" max="14089" width="9" style="104" customWidth="1"/>
    <col min="14090" max="14090" width="9.5703125" style="104" customWidth="1"/>
    <col min="14091" max="14091" width="8.85546875" style="104" customWidth="1"/>
    <col min="14092" max="14092" width="9.28515625" style="104" customWidth="1"/>
    <col min="14093" max="14093" width="7.7109375" style="104" customWidth="1"/>
    <col min="14094" max="14094" width="8.42578125" style="104" customWidth="1"/>
    <col min="14095" max="14095" width="9.85546875" style="104" customWidth="1"/>
    <col min="14096" max="14336" width="9.140625" style="104"/>
    <col min="14337" max="14337" width="6" style="104" customWidth="1"/>
    <col min="14338" max="14338" width="45" style="104" customWidth="1"/>
    <col min="14339" max="14339" width="7.7109375" style="104" customWidth="1"/>
    <col min="14340" max="14340" width="8.28515625" style="104" customWidth="1"/>
    <col min="14341" max="14341" width="8.85546875" style="104" customWidth="1"/>
    <col min="14342" max="14342" width="8.5703125" style="104" customWidth="1"/>
    <col min="14343" max="14343" width="7.7109375" style="104" customWidth="1"/>
    <col min="14344" max="14344" width="8.140625" style="104" customWidth="1"/>
    <col min="14345" max="14345" width="9" style="104" customWidth="1"/>
    <col min="14346" max="14346" width="9.5703125" style="104" customWidth="1"/>
    <col min="14347" max="14347" width="8.85546875" style="104" customWidth="1"/>
    <col min="14348" max="14348" width="9.28515625" style="104" customWidth="1"/>
    <col min="14349" max="14349" width="7.7109375" style="104" customWidth="1"/>
    <col min="14350" max="14350" width="8.42578125" style="104" customWidth="1"/>
    <col min="14351" max="14351" width="9.85546875" style="104" customWidth="1"/>
    <col min="14352" max="14592" width="9.140625" style="104"/>
    <col min="14593" max="14593" width="6" style="104" customWidth="1"/>
    <col min="14594" max="14594" width="45" style="104" customWidth="1"/>
    <col min="14595" max="14595" width="7.7109375" style="104" customWidth="1"/>
    <col min="14596" max="14596" width="8.28515625" style="104" customWidth="1"/>
    <col min="14597" max="14597" width="8.85546875" style="104" customWidth="1"/>
    <col min="14598" max="14598" width="8.5703125" style="104" customWidth="1"/>
    <col min="14599" max="14599" width="7.7109375" style="104" customWidth="1"/>
    <col min="14600" max="14600" width="8.140625" style="104" customWidth="1"/>
    <col min="14601" max="14601" width="9" style="104" customWidth="1"/>
    <col min="14602" max="14602" width="9.5703125" style="104" customWidth="1"/>
    <col min="14603" max="14603" width="8.85546875" style="104" customWidth="1"/>
    <col min="14604" max="14604" width="9.28515625" style="104" customWidth="1"/>
    <col min="14605" max="14605" width="7.7109375" style="104" customWidth="1"/>
    <col min="14606" max="14606" width="8.42578125" style="104" customWidth="1"/>
    <col min="14607" max="14607" width="9.85546875" style="104" customWidth="1"/>
    <col min="14608" max="14848" width="9.140625" style="104"/>
    <col min="14849" max="14849" width="6" style="104" customWidth="1"/>
    <col min="14850" max="14850" width="45" style="104" customWidth="1"/>
    <col min="14851" max="14851" width="7.7109375" style="104" customWidth="1"/>
    <col min="14852" max="14852" width="8.28515625" style="104" customWidth="1"/>
    <col min="14853" max="14853" width="8.85546875" style="104" customWidth="1"/>
    <col min="14854" max="14854" width="8.5703125" style="104" customWidth="1"/>
    <col min="14855" max="14855" width="7.7109375" style="104" customWidth="1"/>
    <col min="14856" max="14856" width="8.140625" style="104" customWidth="1"/>
    <col min="14857" max="14857" width="9" style="104" customWidth="1"/>
    <col min="14858" max="14858" width="9.5703125" style="104" customWidth="1"/>
    <col min="14859" max="14859" width="8.85546875" style="104" customWidth="1"/>
    <col min="14860" max="14860" width="9.28515625" style="104" customWidth="1"/>
    <col min="14861" max="14861" width="7.7109375" style="104" customWidth="1"/>
    <col min="14862" max="14862" width="8.42578125" style="104" customWidth="1"/>
    <col min="14863" max="14863" width="9.85546875" style="104" customWidth="1"/>
    <col min="14864" max="15104" width="9.140625" style="104"/>
    <col min="15105" max="15105" width="6" style="104" customWidth="1"/>
    <col min="15106" max="15106" width="45" style="104" customWidth="1"/>
    <col min="15107" max="15107" width="7.7109375" style="104" customWidth="1"/>
    <col min="15108" max="15108" width="8.28515625" style="104" customWidth="1"/>
    <col min="15109" max="15109" width="8.85546875" style="104" customWidth="1"/>
    <col min="15110" max="15110" width="8.5703125" style="104" customWidth="1"/>
    <col min="15111" max="15111" width="7.7109375" style="104" customWidth="1"/>
    <col min="15112" max="15112" width="8.140625" style="104" customWidth="1"/>
    <col min="15113" max="15113" width="9" style="104" customWidth="1"/>
    <col min="15114" max="15114" width="9.5703125" style="104" customWidth="1"/>
    <col min="15115" max="15115" width="8.85546875" style="104" customWidth="1"/>
    <col min="15116" max="15116" width="9.28515625" style="104" customWidth="1"/>
    <col min="15117" max="15117" width="7.7109375" style="104" customWidth="1"/>
    <col min="15118" max="15118" width="8.42578125" style="104" customWidth="1"/>
    <col min="15119" max="15119" width="9.85546875" style="104" customWidth="1"/>
    <col min="15120" max="15360" width="9.140625" style="104"/>
    <col min="15361" max="15361" width="6" style="104" customWidth="1"/>
    <col min="15362" max="15362" width="45" style="104" customWidth="1"/>
    <col min="15363" max="15363" width="7.7109375" style="104" customWidth="1"/>
    <col min="15364" max="15364" width="8.28515625" style="104" customWidth="1"/>
    <col min="15365" max="15365" width="8.85546875" style="104" customWidth="1"/>
    <col min="15366" max="15366" width="8.5703125" style="104" customWidth="1"/>
    <col min="15367" max="15367" width="7.7109375" style="104" customWidth="1"/>
    <col min="15368" max="15368" width="8.140625" style="104" customWidth="1"/>
    <col min="15369" max="15369" width="9" style="104" customWidth="1"/>
    <col min="15370" max="15370" width="9.5703125" style="104" customWidth="1"/>
    <col min="15371" max="15371" width="8.85546875" style="104" customWidth="1"/>
    <col min="15372" max="15372" width="9.28515625" style="104" customWidth="1"/>
    <col min="15373" max="15373" width="7.7109375" style="104" customWidth="1"/>
    <col min="15374" max="15374" width="8.42578125" style="104" customWidth="1"/>
    <col min="15375" max="15375" width="9.85546875" style="104" customWidth="1"/>
    <col min="15376" max="15616" width="9.140625" style="104"/>
    <col min="15617" max="15617" width="6" style="104" customWidth="1"/>
    <col min="15618" max="15618" width="45" style="104" customWidth="1"/>
    <col min="15619" max="15619" width="7.7109375" style="104" customWidth="1"/>
    <col min="15620" max="15620" width="8.28515625" style="104" customWidth="1"/>
    <col min="15621" max="15621" width="8.85546875" style="104" customWidth="1"/>
    <col min="15622" max="15622" width="8.5703125" style="104" customWidth="1"/>
    <col min="15623" max="15623" width="7.7109375" style="104" customWidth="1"/>
    <col min="15624" max="15624" width="8.140625" style="104" customWidth="1"/>
    <col min="15625" max="15625" width="9" style="104" customWidth="1"/>
    <col min="15626" max="15626" width="9.5703125" style="104" customWidth="1"/>
    <col min="15627" max="15627" width="8.85546875" style="104" customWidth="1"/>
    <col min="15628" max="15628" width="9.28515625" style="104" customWidth="1"/>
    <col min="15629" max="15629" width="7.7109375" style="104" customWidth="1"/>
    <col min="15630" max="15630" width="8.42578125" style="104" customWidth="1"/>
    <col min="15631" max="15631" width="9.85546875" style="104" customWidth="1"/>
    <col min="15632" max="15872" width="9.140625" style="104"/>
    <col min="15873" max="15873" width="6" style="104" customWidth="1"/>
    <col min="15874" max="15874" width="45" style="104" customWidth="1"/>
    <col min="15875" max="15875" width="7.7109375" style="104" customWidth="1"/>
    <col min="15876" max="15876" width="8.28515625" style="104" customWidth="1"/>
    <col min="15877" max="15877" width="8.85546875" style="104" customWidth="1"/>
    <col min="15878" max="15878" width="8.5703125" style="104" customWidth="1"/>
    <col min="15879" max="15879" width="7.7109375" style="104" customWidth="1"/>
    <col min="15880" max="15880" width="8.140625" style="104" customWidth="1"/>
    <col min="15881" max="15881" width="9" style="104" customWidth="1"/>
    <col min="15882" max="15882" width="9.5703125" style="104" customWidth="1"/>
    <col min="15883" max="15883" width="8.85546875" style="104" customWidth="1"/>
    <col min="15884" max="15884" width="9.28515625" style="104" customWidth="1"/>
    <col min="15885" max="15885" width="7.7109375" style="104" customWidth="1"/>
    <col min="15886" max="15886" width="8.42578125" style="104" customWidth="1"/>
    <col min="15887" max="15887" width="9.85546875" style="104" customWidth="1"/>
    <col min="15888" max="16128" width="9.140625" style="104"/>
    <col min="16129" max="16129" width="6" style="104" customWidth="1"/>
    <col min="16130" max="16130" width="45" style="104" customWidth="1"/>
    <col min="16131" max="16131" width="7.7109375" style="104" customWidth="1"/>
    <col min="16132" max="16132" width="8.28515625" style="104" customWidth="1"/>
    <col min="16133" max="16133" width="8.85546875" style="104" customWidth="1"/>
    <col min="16134" max="16134" width="8.5703125" style="104" customWidth="1"/>
    <col min="16135" max="16135" width="7.7109375" style="104" customWidth="1"/>
    <col min="16136" max="16136" width="8.140625" style="104" customWidth="1"/>
    <col min="16137" max="16137" width="9" style="104" customWidth="1"/>
    <col min="16138" max="16138" width="9.5703125" style="104" customWidth="1"/>
    <col min="16139" max="16139" width="8.85546875" style="104" customWidth="1"/>
    <col min="16140" max="16140" width="9.28515625" style="104" customWidth="1"/>
    <col min="16141" max="16141" width="7.7109375" style="104" customWidth="1"/>
    <col min="16142" max="16142" width="8.42578125" style="104" customWidth="1"/>
    <col min="16143" max="16143" width="9.85546875" style="104" customWidth="1"/>
    <col min="16144" max="16384" width="9.140625" style="104"/>
  </cols>
  <sheetData>
    <row r="1" spans="1:21" x14ac:dyDescent="0.25">
      <c r="N1" s="243" t="s">
        <v>168</v>
      </c>
      <c r="O1" s="243"/>
      <c r="P1" s="243"/>
    </row>
    <row r="2" spans="1:21" s="99" customFormat="1" ht="27.75" customHeight="1" x14ac:dyDescent="0.25">
      <c r="A2" s="247" t="s">
        <v>108</v>
      </c>
      <c r="B2" s="247"/>
      <c r="C2" s="247"/>
      <c r="D2" s="247"/>
      <c r="E2" s="247"/>
      <c r="F2" s="247"/>
      <c r="G2" s="247"/>
      <c r="H2" s="247"/>
      <c r="I2" s="247"/>
      <c r="J2" s="247"/>
      <c r="K2" s="247"/>
      <c r="L2" s="247"/>
      <c r="M2" s="247"/>
      <c r="N2" s="247"/>
      <c r="O2" s="247"/>
      <c r="P2" s="247"/>
    </row>
    <row r="3" spans="1:21" s="99" customFormat="1" ht="21" customHeight="1" x14ac:dyDescent="0.25">
      <c r="A3" s="248" t="s">
        <v>167</v>
      </c>
      <c r="B3" s="248"/>
      <c r="C3" s="248"/>
      <c r="D3" s="248"/>
      <c r="E3" s="248"/>
      <c r="F3" s="248"/>
      <c r="G3" s="248"/>
      <c r="H3" s="248"/>
      <c r="I3" s="248"/>
      <c r="J3" s="248"/>
      <c r="K3" s="248"/>
      <c r="L3" s="248"/>
      <c r="M3" s="248"/>
      <c r="N3" s="248"/>
      <c r="O3" s="248"/>
      <c r="P3" s="248"/>
    </row>
    <row r="4" spans="1:21" s="99" customFormat="1" x14ac:dyDescent="0.25">
      <c r="A4" s="100"/>
      <c r="B4" s="101"/>
      <c r="C4" s="102"/>
      <c r="D4" s="102"/>
      <c r="E4" s="102"/>
      <c r="F4" s="102"/>
      <c r="G4" s="102"/>
      <c r="H4" s="101"/>
      <c r="I4" s="101"/>
      <c r="J4" s="101"/>
      <c r="K4" s="101"/>
      <c r="L4" s="101"/>
      <c r="M4" s="101" t="s">
        <v>109</v>
      </c>
      <c r="N4" s="103"/>
      <c r="O4" s="103"/>
    </row>
    <row r="5" spans="1:21" ht="29.25" customHeight="1" x14ac:dyDescent="0.25">
      <c r="A5" s="249" t="s">
        <v>0</v>
      </c>
      <c r="B5" s="249" t="s">
        <v>1</v>
      </c>
      <c r="C5" s="245" t="s">
        <v>110</v>
      </c>
      <c r="D5" s="249" t="s">
        <v>111</v>
      </c>
      <c r="E5" s="249" t="s">
        <v>112</v>
      </c>
      <c r="F5" s="249"/>
      <c r="G5" s="240" t="s">
        <v>113</v>
      </c>
      <c r="H5" s="240"/>
      <c r="I5" s="240" t="s">
        <v>114</v>
      </c>
      <c r="J5" s="240"/>
      <c r="K5" s="240" t="s">
        <v>115</v>
      </c>
      <c r="L5" s="240"/>
      <c r="M5" s="244" t="s">
        <v>116</v>
      </c>
      <c r="N5" s="244"/>
      <c r="O5" s="244" t="s">
        <v>117</v>
      </c>
      <c r="P5" s="245" t="s">
        <v>118</v>
      </c>
    </row>
    <row r="6" spans="1:21" ht="93.75" customHeight="1" x14ac:dyDescent="0.25">
      <c r="A6" s="249"/>
      <c r="B6" s="249"/>
      <c r="C6" s="245"/>
      <c r="D6" s="249"/>
      <c r="E6" s="98" t="s">
        <v>119</v>
      </c>
      <c r="F6" s="97" t="s">
        <v>120</v>
      </c>
      <c r="G6" s="98" t="s">
        <v>119</v>
      </c>
      <c r="H6" s="97" t="s">
        <v>120</v>
      </c>
      <c r="I6" s="98" t="s">
        <v>119</v>
      </c>
      <c r="J6" s="97" t="s">
        <v>120</v>
      </c>
      <c r="K6" s="98" t="s">
        <v>119</v>
      </c>
      <c r="L6" s="97" t="s">
        <v>120</v>
      </c>
      <c r="M6" s="98" t="s">
        <v>119</v>
      </c>
      <c r="N6" s="97" t="s">
        <v>120</v>
      </c>
      <c r="O6" s="244"/>
      <c r="P6" s="245"/>
    </row>
    <row r="7" spans="1:21" ht="26.25" customHeight="1" x14ac:dyDescent="0.25">
      <c r="A7" s="98" t="s">
        <v>4</v>
      </c>
      <c r="B7" s="98" t="s">
        <v>5</v>
      </c>
      <c r="C7" s="98">
        <v>1</v>
      </c>
      <c r="D7" s="11">
        <v>2</v>
      </c>
      <c r="E7" s="11">
        <v>3</v>
      </c>
      <c r="F7" s="11">
        <v>4</v>
      </c>
      <c r="G7" s="11">
        <v>5</v>
      </c>
      <c r="H7" s="11">
        <v>6</v>
      </c>
      <c r="I7" s="11">
        <v>7</v>
      </c>
      <c r="J7" s="11">
        <v>8</v>
      </c>
      <c r="K7" s="11">
        <v>9</v>
      </c>
      <c r="L7" s="11">
        <v>10</v>
      </c>
      <c r="M7" s="11">
        <v>11</v>
      </c>
      <c r="N7" s="11">
        <v>12</v>
      </c>
      <c r="O7" s="116" t="s">
        <v>121</v>
      </c>
      <c r="P7" s="117">
        <v>14</v>
      </c>
    </row>
    <row r="8" spans="1:21" s="105" customFormat="1" ht="26.25" customHeight="1" x14ac:dyDescent="0.25">
      <c r="A8" s="118" t="s">
        <v>4</v>
      </c>
      <c r="B8" s="119" t="s">
        <v>122</v>
      </c>
      <c r="C8" s="120">
        <v>0.1194013241596327</v>
      </c>
      <c r="D8" s="121">
        <f>D9+D20</f>
        <v>3505</v>
      </c>
      <c r="E8" s="121">
        <f>E9+E20</f>
        <v>2958.9</v>
      </c>
      <c r="F8" s="122"/>
      <c r="G8" s="121">
        <f>G9+G20</f>
        <v>3229.123</v>
      </c>
      <c r="H8" s="120">
        <f t="shared" ref="H8:H32" si="0">(G8-E8)/E8</f>
        <v>9.1325492581702639E-2</v>
      </c>
      <c r="I8" s="121">
        <f>I9+I20</f>
        <v>3665.76161</v>
      </c>
      <c r="J8" s="120">
        <f t="shared" ref="J8:J32" si="1">(I8-G8)/G8</f>
        <v>0.1352189464445919</v>
      </c>
      <c r="K8" s="121">
        <f>K9+K20</f>
        <v>4127.9149226999998</v>
      </c>
      <c r="L8" s="120">
        <f t="shared" ref="L8:L32" si="2">(K8-I8)/I8</f>
        <v>0.12607293159469793</v>
      </c>
      <c r="M8" s="121">
        <f>M9+M20</f>
        <v>4999.6889672890002</v>
      </c>
      <c r="N8" s="120">
        <f t="shared" ref="N8:N32" si="3">(M8-K8)/K8</f>
        <v>0.21118992540156026</v>
      </c>
      <c r="O8" s="121">
        <f>E8+G8+I8+K8+M8</f>
        <v>18981.388499989</v>
      </c>
      <c r="P8" s="120">
        <f>(F8+H8+J8+L8+N8)/4</f>
        <v>0.14095182400563819</v>
      </c>
      <c r="Q8" s="112">
        <f>5000-M8</f>
        <v>0.31103271099982521</v>
      </c>
    </row>
    <row r="9" spans="1:21" s="105" customFormat="1" ht="21.75" customHeight="1" x14ac:dyDescent="0.25">
      <c r="A9" s="118" t="s">
        <v>50</v>
      </c>
      <c r="B9" s="119" t="s">
        <v>36</v>
      </c>
      <c r="C9" s="120">
        <v>0.14014110915345251</v>
      </c>
      <c r="D9" s="121">
        <f>D12+D14+D15+D16+D17+D18+D19</f>
        <v>3235</v>
      </c>
      <c r="E9" s="121">
        <f t="shared" ref="E9:O9" si="4">E12+E14+E15+E16+E17+E18+E19</f>
        <v>2670</v>
      </c>
      <c r="F9" s="122"/>
      <c r="G9" s="121">
        <f t="shared" si="4"/>
        <v>2920</v>
      </c>
      <c r="H9" s="120">
        <f t="shared" si="0"/>
        <v>9.3632958801498134E-2</v>
      </c>
      <c r="I9" s="121">
        <f t="shared" si="4"/>
        <v>3335</v>
      </c>
      <c r="J9" s="120">
        <f t="shared" si="1"/>
        <v>0.14212328767123289</v>
      </c>
      <c r="K9" s="121">
        <f t="shared" si="4"/>
        <v>3774</v>
      </c>
      <c r="L9" s="120">
        <f t="shared" si="2"/>
        <v>0.13163418290854573</v>
      </c>
      <c r="M9" s="121">
        <f t="shared" si="4"/>
        <v>4621</v>
      </c>
      <c r="N9" s="120">
        <f t="shared" si="3"/>
        <v>0.22443031266560678</v>
      </c>
      <c r="O9" s="121">
        <f t="shared" si="4"/>
        <v>17320</v>
      </c>
      <c r="P9" s="120">
        <f>(F9+H9+J9+L9+N9)/4</f>
        <v>0.14795518551172088</v>
      </c>
      <c r="Q9" s="113"/>
      <c r="R9" s="114"/>
      <c r="S9" s="114"/>
      <c r="T9" s="114"/>
      <c r="U9" s="114"/>
    </row>
    <row r="10" spans="1:21" s="106" customFormat="1" x14ac:dyDescent="0.25">
      <c r="A10" s="123"/>
      <c r="B10" s="124" t="s">
        <v>123</v>
      </c>
      <c r="C10" s="125">
        <v>6.3E-2</v>
      </c>
      <c r="D10" s="126">
        <f>D9-D18</f>
        <v>2137</v>
      </c>
      <c r="E10" s="126">
        <f>E9-E18</f>
        <v>2270</v>
      </c>
      <c r="F10" s="125">
        <f t="shared" ref="F10:F19" si="5">(E10-D10)/D10</f>
        <v>6.2236780533458116E-2</v>
      </c>
      <c r="G10" s="126">
        <f>G9-G18</f>
        <v>2420</v>
      </c>
      <c r="H10" s="125">
        <f t="shared" si="0"/>
        <v>6.6079295154185022E-2</v>
      </c>
      <c r="I10" s="126">
        <f>I9-I18</f>
        <v>2735</v>
      </c>
      <c r="J10" s="125">
        <f t="shared" si="1"/>
        <v>0.13016528925619836</v>
      </c>
      <c r="K10" s="126">
        <f>K9-K18</f>
        <v>2974</v>
      </c>
      <c r="L10" s="125">
        <f t="shared" si="2"/>
        <v>8.7385740402193782E-2</v>
      </c>
      <c r="M10" s="126">
        <f>M9-M18</f>
        <v>3260</v>
      </c>
      <c r="N10" s="125">
        <f t="shared" si="3"/>
        <v>9.6166778749159382E-2</v>
      </c>
      <c r="O10" s="127">
        <f>E10+G10+I10+K10+M10</f>
        <v>13659</v>
      </c>
      <c r="P10" s="125">
        <f>(F10+H10+J10+L10+N10)/5</f>
        <v>8.8406776819038926E-2</v>
      </c>
      <c r="Q10" s="113"/>
      <c r="R10" s="114"/>
      <c r="S10" s="114"/>
      <c r="T10" s="114"/>
      <c r="U10" s="114"/>
    </row>
    <row r="11" spans="1:21" s="106" customFormat="1" x14ac:dyDescent="0.25">
      <c r="A11" s="123"/>
      <c r="B11" s="124" t="s">
        <v>124</v>
      </c>
      <c r="C11" s="125"/>
      <c r="D11" s="128">
        <f>D9/D8%</f>
        <v>92.296718972895874</v>
      </c>
      <c r="E11" s="128">
        <f>E9/E8%</f>
        <v>90.236236439217265</v>
      </c>
      <c r="F11" s="125"/>
      <c r="G11" s="128">
        <f t="shared" ref="G11:O11" si="6">G9/G8%</f>
        <v>90.427029258408552</v>
      </c>
      <c r="H11" s="125"/>
      <c r="I11" s="128">
        <f t="shared" si="6"/>
        <v>90.977001638685394</v>
      </c>
      <c r="J11" s="125"/>
      <c r="K11" s="128">
        <f t="shared" si="6"/>
        <v>91.426302883478272</v>
      </c>
      <c r="L11" s="125"/>
      <c r="M11" s="128">
        <f t="shared" si="6"/>
        <v>92.425749486285781</v>
      </c>
      <c r="N11" s="128"/>
      <c r="O11" s="128">
        <f t="shared" si="6"/>
        <v>91.247276246466569</v>
      </c>
      <c r="P11" s="125"/>
      <c r="Q11" s="113"/>
      <c r="R11" s="114"/>
      <c r="S11" s="114"/>
      <c r="T11" s="114"/>
      <c r="U11" s="114"/>
    </row>
    <row r="12" spans="1:21" x14ac:dyDescent="0.25">
      <c r="A12" s="129" t="s">
        <v>125</v>
      </c>
      <c r="B12" s="130" t="s">
        <v>126</v>
      </c>
      <c r="C12" s="131">
        <v>5.3286331153086966E-2</v>
      </c>
      <c r="D12" s="127">
        <v>717</v>
      </c>
      <c r="E12" s="127">
        <v>746</v>
      </c>
      <c r="F12" s="132">
        <f t="shared" si="5"/>
        <v>4.0446304044630406E-2</v>
      </c>
      <c r="G12" s="127">
        <v>777</v>
      </c>
      <c r="H12" s="132">
        <f t="shared" si="0"/>
        <v>4.1554959785522788E-2</v>
      </c>
      <c r="I12" s="127">
        <v>830</v>
      </c>
      <c r="J12" s="132">
        <f t="shared" si="1"/>
        <v>6.8211068211068204E-2</v>
      </c>
      <c r="K12" s="127">
        <v>871</v>
      </c>
      <c r="L12" s="132">
        <f t="shared" si="2"/>
        <v>4.9397590361445781E-2</v>
      </c>
      <c r="M12" s="127">
        <v>915</v>
      </c>
      <c r="N12" s="132">
        <f t="shared" si="3"/>
        <v>5.0516647531572902E-2</v>
      </c>
      <c r="O12" s="127">
        <f t="shared" ref="O12:O19" si="7">E12+G12+I12+K12+M12</f>
        <v>4139</v>
      </c>
      <c r="P12" s="132">
        <f>(F12+H12+J12+L12+N12)/5</f>
        <v>5.0025313986848022E-2</v>
      </c>
      <c r="Q12" s="113"/>
      <c r="R12" s="114"/>
      <c r="S12" s="114"/>
      <c r="T12" s="114"/>
      <c r="U12" s="114"/>
    </row>
    <row r="13" spans="1:21" x14ac:dyDescent="0.25">
      <c r="A13" s="133"/>
      <c r="B13" s="134" t="s">
        <v>127</v>
      </c>
      <c r="C13" s="125">
        <v>5.4171037236953615E-2</v>
      </c>
      <c r="D13" s="127">
        <v>586</v>
      </c>
      <c r="E13" s="127">
        <v>607</v>
      </c>
      <c r="F13" s="132">
        <f t="shared" si="5"/>
        <v>3.5836177474402729E-2</v>
      </c>
      <c r="G13" s="127">
        <v>628</v>
      </c>
      <c r="H13" s="132">
        <f t="shared" si="0"/>
        <v>3.459637561779242E-2</v>
      </c>
      <c r="I13" s="127">
        <v>669</v>
      </c>
      <c r="J13" s="132">
        <f t="shared" si="1"/>
        <v>6.5286624203821655E-2</v>
      </c>
      <c r="K13" s="127">
        <v>691</v>
      </c>
      <c r="L13" s="132">
        <f t="shared" si="2"/>
        <v>3.2884902840059793E-2</v>
      </c>
      <c r="M13" s="127">
        <v>720</v>
      </c>
      <c r="N13" s="132">
        <f t="shared" si="3"/>
        <v>4.1968162083936326E-2</v>
      </c>
      <c r="O13" s="127">
        <f t="shared" si="7"/>
        <v>3315</v>
      </c>
      <c r="P13" s="132">
        <f t="shared" ref="P13:P20" si="8">(F13+H13+J13+L13+N13)/5</f>
        <v>4.2114448444002583E-2</v>
      </c>
      <c r="Q13" s="113"/>
      <c r="R13" s="114"/>
      <c r="S13" s="114"/>
      <c r="T13" s="114"/>
      <c r="U13" s="114"/>
    </row>
    <row r="14" spans="1:21" x14ac:dyDescent="0.25">
      <c r="A14" s="129" t="s">
        <v>128</v>
      </c>
      <c r="B14" s="130" t="s">
        <v>129</v>
      </c>
      <c r="C14" s="131">
        <v>0.17689108279432739</v>
      </c>
      <c r="D14" s="127">
        <v>26</v>
      </c>
      <c r="E14" s="127">
        <v>26</v>
      </c>
      <c r="F14" s="132">
        <f t="shared" si="5"/>
        <v>0</v>
      </c>
      <c r="G14" s="127">
        <v>26</v>
      </c>
      <c r="H14" s="132">
        <f t="shared" si="0"/>
        <v>0</v>
      </c>
      <c r="I14" s="127">
        <v>36</v>
      </c>
      <c r="J14" s="132">
        <f t="shared" si="1"/>
        <v>0.38461538461538464</v>
      </c>
      <c r="K14" s="127">
        <v>40</v>
      </c>
      <c r="L14" s="132">
        <f t="shared" si="2"/>
        <v>0.1111111111111111</v>
      </c>
      <c r="M14" s="127">
        <v>46</v>
      </c>
      <c r="N14" s="132">
        <f t="shared" si="3"/>
        <v>0.15</v>
      </c>
      <c r="O14" s="127">
        <f t="shared" si="7"/>
        <v>174</v>
      </c>
      <c r="P14" s="132">
        <f t="shared" si="8"/>
        <v>0.12914529914529915</v>
      </c>
      <c r="Q14" s="113"/>
      <c r="R14" s="114"/>
      <c r="S14" s="114"/>
      <c r="T14" s="114"/>
      <c r="U14" s="114"/>
    </row>
    <row r="15" spans="1:21" ht="15.75" customHeight="1" x14ac:dyDescent="0.25">
      <c r="A15" s="129" t="s">
        <v>130</v>
      </c>
      <c r="B15" s="130" t="s">
        <v>131</v>
      </c>
      <c r="C15" s="131">
        <v>1.0684249084249084</v>
      </c>
      <c r="D15" s="127">
        <v>4</v>
      </c>
      <c r="E15" s="127">
        <v>4</v>
      </c>
      <c r="F15" s="132">
        <f t="shared" si="5"/>
        <v>0</v>
      </c>
      <c r="G15" s="127">
        <v>4</v>
      </c>
      <c r="H15" s="132">
        <f t="shared" si="0"/>
        <v>0</v>
      </c>
      <c r="I15" s="127">
        <v>7</v>
      </c>
      <c r="J15" s="132">
        <f t="shared" si="1"/>
        <v>0.75</v>
      </c>
      <c r="K15" s="127">
        <v>8</v>
      </c>
      <c r="L15" s="132">
        <f t="shared" si="2"/>
        <v>0.14285714285714285</v>
      </c>
      <c r="M15" s="127">
        <v>9</v>
      </c>
      <c r="N15" s="132">
        <f t="shared" si="3"/>
        <v>0.125</v>
      </c>
      <c r="O15" s="127">
        <f t="shared" si="7"/>
        <v>32</v>
      </c>
      <c r="P15" s="132">
        <f>(F15+H15+J15+L15+N15)/5</f>
        <v>0.20357142857142857</v>
      </c>
      <c r="Q15" s="113"/>
      <c r="R15" s="114"/>
      <c r="S15" s="114"/>
      <c r="T15" s="114"/>
      <c r="U15" s="114"/>
    </row>
    <row r="16" spans="1:21" x14ac:dyDescent="0.25">
      <c r="A16" s="129" t="s">
        <v>132</v>
      </c>
      <c r="B16" s="130" t="s">
        <v>133</v>
      </c>
      <c r="C16" s="131">
        <v>4.0963411070981802E-2</v>
      </c>
      <c r="D16" s="127">
        <v>625</v>
      </c>
      <c r="E16" s="127">
        <v>665</v>
      </c>
      <c r="F16" s="132">
        <f t="shared" si="5"/>
        <v>6.4000000000000001E-2</v>
      </c>
      <c r="G16" s="127">
        <v>709</v>
      </c>
      <c r="H16" s="132">
        <f t="shared" si="0"/>
        <v>6.616541353383458E-2</v>
      </c>
      <c r="I16" s="127">
        <f>725+30</f>
        <v>755</v>
      </c>
      <c r="J16" s="132">
        <f t="shared" si="1"/>
        <v>6.488011283497884E-2</v>
      </c>
      <c r="K16" s="127">
        <f>750+30</f>
        <v>780</v>
      </c>
      <c r="L16" s="132">
        <f t="shared" si="2"/>
        <v>3.3112582781456956E-2</v>
      </c>
      <c r="M16" s="127">
        <f>761+222</f>
        <v>983</v>
      </c>
      <c r="N16" s="132">
        <f t="shared" si="3"/>
        <v>0.26025641025641028</v>
      </c>
      <c r="O16" s="127">
        <f t="shared" si="7"/>
        <v>3892</v>
      </c>
      <c r="P16" s="132">
        <f t="shared" si="8"/>
        <v>9.7682903881336131E-2</v>
      </c>
      <c r="Q16" s="113"/>
      <c r="R16" s="114"/>
      <c r="S16" s="114"/>
      <c r="T16" s="114"/>
      <c r="U16" s="114"/>
    </row>
    <row r="17" spans="1:21" ht="15.75" customHeight="1" x14ac:dyDescent="0.25">
      <c r="A17" s="129" t="s">
        <v>134</v>
      </c>
      <c r="B17" s="130" t="s">
        <v>135</v>
      </c>
      <c r="C17" s="131">
        <v>9.0999999999999998E-2</v>
      </c>
      <c r="D17" s="127">
        <v>84</v>
      </c>
      <c r="E17" s="127">
        <v>88</v>
      </c>
      <c r="F17" s="132">
        <f t="shared" si="5"/>
        <v>4.7619047619047616E-2</v>
      </c>
      <c r="G17" s="127">
        <v>90</v>
      </c>
      <c r="H17" s="132">
        <f t="shared" si="0"/>
        <v>2.2727272727272728E-2</v>
      </c>
      <c r="I17" s="127">
        <v>97</v>
      </c>
      <c r="J17" s="132">
        <f t="shared" si="1"/>
        <v>7.7777777777777779E-2</v>
      </c>
      <c r="K17" s="127">
        <v>102</v>
      </c>
      <c r="L17" s="132">
        <f t="shared" si="2"/>
        <v>5.1546391752577317E-2</v>
      </c>
      <c r="M17" s="127">
        <v>107</v>
      </c>
      <c r="N17" s="132">
        <f t="shared" si="3"/>
        <v>4.9019607843137254E-2</v>
      </c>
      <c r="O17" s="127">
        <f t="shared" si="7"/>
        <v>484</v>
      </c>
      <c r="P17" s="132">
        <f t="shared" si="8"/>
        <v>4.9738019543962543E-2</v>
      </c>
      <c r="Q17" s="113"/>
      <c r="R17" s="114"/>
      <c r="S17" s="114"/>
      <c r="T17" s="114"/>
      <c r="U17" s="114"/>
    </row>
    <row r="18" spans="1:21" ht="15.75" customHeight="1" x14ac:dyDescent="0.25">
      <c r="A18" s="129" t="s">
        <v>136</v>
      </c>
      <c r="B18" s="130" t="s">
        <v>137</v>
      </c>
      <c r="C18" s="131">
        <v>0.755</v>
      </c>
      <c r="D18" s="127">
        <v>1098</v>
      </c>
      <c r="E18" s="127">
        <v>400</v>
      </c>
      <c r="F18" s="132"/>
      <c r="G18" s="127">
        <v>500</v>
      </c>
      <c r="H18" s="132">
        <f>(G18-E18)/E18</f>
        <v>0.25</v>
      </c>
      <c r="I18" s="127">
        <v>600</v>
      </c>
      <c r="J18" s="132">
        <f>(I18-G18)/G18</f>
        <v>0.2</v>
      </c>
      <c r="K18" s="127">
        <v>800</v>
      </c>
      <c r="L18" s="132">
        <f>(K18-I18)/I18</f>
        <v>0.33333333333333331</v>
      </c>
      <c r="M18" s="127">
        <v>1361</v>
      </c>
      <c r="N18" s="132">
        <f>(M18-K18)/K18</f>
        <v>0.70125000000000004</v>
      </c>
      <c r="O18" s="127">
        <f>E18+G18+I18+K18+M18</f>
        <v>3661</v>
      </c>
      <c r="P18" s="132">
        <f>(F18+H18+J18+L18+N18)/4</f>
        <v>0.37114583333333334</v>
      </c>
      <c r="Q18" s="113"/>
      <c r="R18" s="114"/>
      <c r="S18" s="114"/>
      <c r="T18" s="114"/>
      <c r="U18" s="114"/>
    </row>
    <row r="19" spans="1:21" s="106" customFormat="1" x14ac:dyDescent="0.25">
      <c r="A19" s="129" t="s">
        <v>138</v>
      </c>
      <c r="B19" s="135" t="s">
        <v>139</v>
      </c>
      <c r="C19" s="136">
        <v>0.108</v>
      </c>
      <c r="D19" s="126">
        <v>681</v>
      </c>
      <c r="E19" s="126">
        <v>741</v>
      </c>
      <c r="F19" s="132">
        <f t="shared" si="5"/>
        <v>8.8105726872246701E-2</v>
      </c>
      <c r="G19" s="126">
        <v>814</v>
      </c>
      <c r="H19" s="132">
        <f t="shared" si="0"/>
        <v>9.8515519568151147E-2</v>
      </c>
      <c r="I19" s="126">
        <v>1010</v>
      </c>
      <c r="J19" s="132">
        <f t="shared" si="1"/>
        <v>0.24078624078624078</v>
      </c>
      <c r="K19" s="126">
        <v>1173</v>
      </c>
      <c r="L19" s="132">
        <f t="shared" si="2"/>
        <v>0.16138613861386139</v>
      </c>
      <c r="M19" s="126">
        <v>1200</v>
      </c>
      <c r="N19" s="132">
        <f t="shared" si="3"/>
        <v>2.3017902813299233E-2</v>
      </c>
      <c r="O19" s="127">
        <f t="shared" si="7"/>
        <v>4938</v>
      </c>
      <c r="P19" s="132">
        <f t="shared" si="8"/>
        <v>0.12236230573075983</v>
      </c>
      <c r="Q19" s="113"/>
      <c r="R19" s="114"/>
      <c r="S19" s="114"/>
      <c r="T19" s="114"/>
      <c r="U19" s="114"/>
    </row>
    <row r="20" spans="1:21" s="107" customFormat="1" ht="26.25" customHeight="1" x14ac:dyDescent="0.25">
      <c r="A20" s="137" t="s">
        <v>41</v>
      </c>
      <c r="B20" s="138" t="s">
        <v>140</v>
      </c>
      <c r="C20" s="139">
        <v>0.19683734163898597</v>
      </c>
      <c r="D20" s="121">
        <v>270</v>
      </c>
      <c r="E20" s="121">
        <f>D20*1.07</f>
        <v>288.90000000000003</v>
      </c>
      <c r="F20" s="120">
        <f>(E20-D20)/D20</f>
        <v>7.0000000000000132E-2</v>
      </c>
      <c r="G20" s="121">
        <f>E20*1.07</f>
        <v>309.12300000000005</v>
      </c>
      <c r="H20" s="120">
        <f t="shared" si="0"/>
        <v>7.0000000000000034E-2</v>
      </c>
      <c r="I20" s="121">
        <f>G20*1.07</f>
        <v>330.76161000000008</v>
      </c>
      <c r="J20" s="120">
        <f t="shared" si="1"/>
        <v>7.0000000000000076E-2</v>
      </c>
      <c r="K20" s="121">
        <f>I20*1.07</f>
        <v>353.91492270000009</v>
      </c>
      <c r="L20" s="120">
        <f t="shared" si="2"/>
        <v>7.0000000000000034E-2</v>
      </c>
      <c r="M20" s="121">
        <f>K20*1.07</f>
        <v>378.68896728900012</v>
      </c>
      <c r="N20" s="120">
        <f t="shared" si="3"/>
        <v>7.0000000000000062E-2</v>
      </c>
      <c r="O20" s="121">
        <f>E20+G20+I20+K20+M20</f>
        <v>1661.3884999890004</v>
      </c>
      <c r="P20" s="120">
        <f t="shared" si="8"/>
        <v>7.0000000000000062E-2</v>
      </c>
    </row>
    <row r="21" spans="1:21" s="107" customFormat="1" ht="26.25" customHeight="1" x14ac:dyDescent="0.25">
      <c r="A21" s="137" t="s">
        <v>5</v>
      </c>
      <c r="B21" s="138" t="s">
        <v>141</v>
      </c>
      <c r="C21" s="139"/>
      <c r="D21" s="121">
        <f>D22+D23</f>
        <v>8261</v>
      </c>
      <c r="E21" s="121">
        <f t="shared" ref="E21:M21" si="9">E22+E23</f>
        <v>6347.6</v>
      </c>
      <c r="F21" s="121"/>
      <c r="G21" s="121">
        <f t="shared" si="9"/>
        <v>6672.6</v>
      </c>
      <c r="H21" s="121"/>
      <c r="I21" s="121">
        <f t="shared" si="9"/>
        <v>7196.1</v>
      </c>
      <c r="J21" s="121"/>
      <c r="K21" s="121">
        <f t="shared" si="9"/>
        <v>7791.2000000000007</v>
      </c>
      <c r="L21" s="121"/>
      <c r="M21" s="121">
        <f t="shared" si="9"/>
        <v>8803.5</v>
      </c>
      <c r="N21" s="121"/>
      <c r="O21" s="121">
        <f>E21+G21+I21+K21+M21</f>
        <v>36811</v>
      </c>
      <c r="P21" s="120"/>
    </row>
    <row r="22" spans="1:21" s="106" customFormat="1" ht="26.25" customHeight="1" x14ac:dyDescent="0.25">
      <c r="A22" s="140" t="s">
        <v>125</v>
      </c>
      <c r="B22" s="141" t="s">
        <v>51</v>
      </c>
      <c r="C22" s="142"/>
      <c r="D22" s="127">
        <v>2993</v>
      </c>
      <c r="E22" s="127">
        <f>E9*0.9</f>
        <v>2403</v>
      </c>
      <c r="F22" s="127"/>
      <c r="G22" s="127">
        <f t="shared" ref="G22:M22" si="10">G9*0.9</f>
        <v>2628</v>
      </c>
      <c r="H22" s="127"/>
      <c r="I22" s="127">
        <f t="shared" si="10"/>
        <v>3001.5</v>
      </c>
      <c r="J22" s="127"/>
      <c r="K22" s="127">
        <f t="shared" si="10"/>
        <v>3396.6</v>
      </c>
      <c r="L22" s="127"/>
      <c r="M22" s="127">
        <f t="shared" si="10"/>
        <v>4158.9000000000005</v>
      </c>
      <c r="N22" s="127"/>
      <c r="O22" s="127">
        <f>E22+G22+I22+K22+M22</f>
        <v>15588</v>
      </c>
      <c r="P22" s="132"/>
    </row>
    <row r="23" spans="1:21" s="106" customFormat="1" ht="26.25" customHeight="1" x14ac:dyDescent="0.25">
      <c r="A23" s="140" t="s">
        <v>128</v>
      </c>
      <c r="B23" s="141" t="s">
        <v>142</v>
      </c>
      <c r="C23" s="142"/>
      <c r="D23" s="127">
        <f>D24+D26</f>
        <v>5268</v>
      </c>
      <c r="E23" s="127">
        <f>E24+E26</f>
        <v>3944.6000000000004</v>
      </c>
      <c r="F23" s="127"/>
      <c r="G23" s="127">
        <f t="shared" ref="G23:M23" si="11">G24+G26</f>
        <v>4044.6000000000004</v>
      </c>
      <c r="H23" s="127"/>
      <c r="I23" s="127">
        <f t="shared" si="11"/>
        <v>4194.6000000000004</v>
      </c>
      <c r="J23" s="127"/>
      <c r="K23" s="127">
        <f t="shared" si="11"/>
        <v>4394.6000000000004</v>
      </c>
      <c r="L23" s="127"/>
      <c r="M23" s="127">
        <f t="shared" si="11"/>
        <v>4644.6000000000004</v>
      </c>
      <c r="N23" s="127"/>
      <c r="O23" s="127">
        <f>E23+G23+I23+K23+M23</f>
        <v>21223</v>
      </c>
      <c r="P23" s="132"/>
    </row>
    <row r="24" spans="1:21" s="106" customFormat="1" ht="26.25" customHeight="1" x14ac:dyDescent="0.25">
      <c r="A24" s="140"/>
      <c r="B24" s="141" t="s">
        <v>143</v>
      </c>
      <c r="C24" s="142"/>
      <c r="D24" s="127">
        <v>1982</v>
      </c>
      <c r="E24" s="127">
        <f>E25</f>
        <v>0</v>
      </c>
      <c r="F24" s="132"/>
      <c r="G24" s="127">
        <v>0</v>
      </c>
      <c r="H24" s="132"/>
      <c r="I24" s="127">
        <v>0</v>
      </c>
      <c r="J24" s="132"/>
      <c r="K24" s="127">
        <v>0</v>
      </c>
      <c r="L24" s="132"/>
      <c r="M24" s="127">
        <v>0</v>
      </c>
      <c r="N24" s="132"/>
      <c r="O24" s="127">
        <v>0</v>
      </c>
      <c r="P24" s="132"/>
    </row>
    <row r="25" spans="1:21" s="106" customFormat="1" ht="26.25" customHeight="1" x14ac:dyDescent="0.25">
      <c r="A25" s="143"/>
      <c r="B25" s="144" t="s">
        <v>144</v>
      </c>
      <c r="C25" s="145"/>
      <c r="D25" s="126">
        <f>416-86</f>
        <v>330</v>
      </c>
      <c r="E25" s="126"/>
      <c r="F25" s="125"/>
      <c r="G25" s="126"/>
      <c r="H25" s="125"/>
      <c r="I25" s="126"/>
      <c r="J25" s="125"/>
      <c r="K25" s="126"/>
      <c r="L25" s="125"/>
      <c r="M25" s="126"/>
      <c r="N25" s="125"/>
      <c r="O25" s="126"/>
      <c r="P25" s="125"/>
    </row>
    <row r="26" spans="1:21" s="106" customFormat="1" ht="26.25" customHeight="1" x14ac:dyDescent="0.25">
      <c r="A26" s="140"/>
      <c r="B26" s="141" t="s">
        <v>145</v>
      </c>
      <c r="C26" s="142"/>
      <c r="D26" s="127">
        <v>3286</v>
      </c>
      <c r="E26" s="126">
        <f>D26*1.1+E28</f>
        <v>3944.6000000000004</v>
      </c>
      <c r="F26" s="132"/>
      <c r="G26" s="127">
        <f>E26+G27</f>
        <v>4044.6000000000004</v>
      </c>
      <c r="H26" s="127"/>
      <c r="I26" s="127">
        <f>G26+I27</f>
        <v>4194.6000000000004</v>
      </c>
      <c r="J26" s="127"/>
      <c r="K26" s="127">
        <f>I26+K27</f>
        <v>4394.6000000000004</v>
      </c>
      <c r="L26" s="127"/>
      <c r="M26" s="127">
        <f>K26+M27</f>
        <v>4644.6000000000004</v>
      </c>
      <c r="N26" s="127"/>
      <c r="O26" s="127"/>
      <c r="P26" s="132"/>
    </row>
    <row r="27" spans="1:21" s="106" customFormat="1" ht="34.5" customHeight="1" x14ac:dyDescent="0.25">
      <c r="A27" s="143"/>
      <c r="B27" s="144" t="s">
        <v>146</v>
      </c>
      <c r="C27" s="145"/>
      <c r="D27" s="126">
        <v>286</v>
      </c>
      <c r="E27" s="126">
        <f>D27*1.1</f>
        <v>314.60000000000002</v>
      </c>
      <c r="F27" s="125"/>
      <c r="G27" s="126">
        <v>100</v>
      </c>
      <c r="H27" s="125"/>
      <c r="I27" s="126">
        <v>150</v>
      </c>
      <c r="J27" s="125"/>
      <c r="K27" s="126">
        <v>200</v>
      </c>
      <c r="L27" s="125"/>
      <c r="M27" s="126">
        <v>250</v>
      </c>
      <c r="N27" s="125"/>
      <c r="O27" s="126"/>
      <c r="P27" s="125"/>
    </row>
    <row r="28" spans="1:21" s="106" customFormat="1" ht="26.25" customHeight="1" x14ac:dyDescent="0.25">
      <c r="A28" s="143"/>
      <c r="B28" s="144" t="s">
        <v>147</v>
      </c>
      <c r="C28" s="145"/>
      <c r="D28" s="126"/>
      <c r="E28" s="126">
        <v>330</v>
      </c>
      <c r="F28" s="125"/>
      <c r="G28" s="126"/>
      <c r="H28" s="125"/>
      <c r="I28" s="126"/>
      <c r="J28" s="125"/>
      <c r="K28" s="126"/>
      <c r="L28" s="125"/>
      <c r="M28" s="126"/>
      <c r="N28" s="125"/>
      <c r="O28" s="126"/>
      <c r="P28" s="125"/>
    </row>
    <row r="29" spans="1:21" s="106" customFormat="1" ht="19.5" customHeight="1" x14ac:dyDescent="0.25">
      <c r="A29" s="118" t="s">
        <v>5</v>
      </c>
      <c r="B29" s="146" t="s">
        <v>148</v>
      </c>
      <c r="C29" s="146"/>
      <c r="D29" s="121">
        <f>D30+D34</f>
        <v>8277</v>
      </c>
      <c r="E29" s="121">
        <f t="shared" ref="E29:O29" si="12">E30+E34</f>
        <v>6347.6</v>
      </c>
      <c r="F29" s="121"/>
      <c r="G29" s="121">
        <f t="shared" si="12"/>
        <v>6672.6</v>
      </c>
      <c r="H29" s="121"/>
      <c r="I29" s="121">
        <f t="shared" si="12"/>
        <v>7196.1</v>
      </c>
      <c r="J29" s="121"/>
      <c r="K29" s="121">
        <f t="shared" si="12"/>
        <v>7791.2000000000007</v>
      </c>
      <c r="L29" s="121"/>
      <c r="M29" s="121">
        <f t="shared" si="12"/>
        <v>8803.5</v>
      </c>
      <c r="N29" s="121"/>
      <c r="O29" s="121">
        <f t="shared" si="12"/>
        <v>36811</v>
      </c>
      <c r="P29" s="121"/>
    </row>
    <row r="30" spans="1:21" s="106" customFormat="1" ht="21.75" customHeight="1" x14ac:dyDescent="0.25">
      <c r="A30" s="118" t="s">
        <v>50</v>
      </c>
      <c r="B30" s="146" t="s">
        <v>149</v>
      </c>
      <c r="C30" s="146"/>
      <c r="D30" s="121">
        <f>D31+D32+D33</f>
        <v>6295</v>
      </c>
      <c r="E30" s="121">
        <f>E31+E32</f>
        <v>6347.6</v>
      </c>
      <c r="F30" s="120"/>
      <c r="G30" s="121">
        <f>G31+G32</f>
        <v>6672.6</v>
      </c>
      <c r="H30" s="120">
        <f t="shared" si="0"/>
        <v>5.1200453714789838E-2</v>
      </c>
      <c r="I30" s="121">
        <f>I31+I32</f>
        <v>7196.1</v>
      </c>
      <c r="J30" s="120">
        <f t="shared" si="1"/>
        <v>7.8455174894344032E-2</v>
      </c>
      <c r="K30" s="121">
        <f>K31+K32</f>
        <v>7791.2000000000007</v>
      </c>
      <c r="L30" s="120">
        <f t="shared" si="2"/>
        <v>8.2697572296104888E-2</v>
      </c>
      <c r="M30" s="121">
        <f>M31+M32</f>
        <v>8803.5</v>
      </c>
      <c r="N30" s="120">
        <f t="shared" si="3"/>
        <v>0.12992863743710842</v>
      </c>
      <c r="O30" s="121">
        <f>E30+G30+I30+K30+M30</f>
        <v>36811</v>
      </c>
      <c r="P30" s="120">
        <f>(F30+H30+J30+L30+N30)/4</f>
        <v>8.5570459585586789E-2</v>
      </c>
    </row>
    <row r="31" spans="1:21" s="106" customFormat="1" x14ac:dyDescent="0.25">
      <c r="A31" s="117">
        <v>1</v>
      </c>
      <c r="B31" s="147" t="s">
        <v>150</v>
      </c>
      <c r="C31" s="147"/>
      <c r="D31" s="127">
        <f>825+880</f>
        <v>1705</v>
      </c>
      <c r="E31" s="126">
        <f>825*1.1+100</f>
        <v>1007.5000000000001</v>
      </c>
      <c r="F31" s="148"/>
      <c r="G31" s="126">
        <f>E31*1.1</f>
        <v>1108.2500000000002</v>
      </c>
      <c r="H31" s="132">
        <f>(G31-E31)/E31</f>
        <v>0.1000000000000001</v>
      </c>
      <c r="I31" s="126">
        <f>G31*1.1</f>
        <v>1219.0750000000003</v>
      </c>
      <c r="J31" s="132">
        <f t="shared" si="1"/>
        <v>0.10000000000000002</v>
      </c>
      <c r="K31" s="126">
        <f>I31*1.1</f>
        <v>1340.9825000000003</v>
      </c>
      <c r="L31" s="132">
        <f t="shared" si="2"/>
        <v>0.1</v>
      </c>
      <c r="M31" s="126">
        <f>K31*1.1+300</f>
        <v>1775.0807500000005</v>
      </c>
      <c r="N31" s="132">
        <f t="shared" si="3"/>
        <v>0.32371656602528381</v>
      </c>
      <c r="O31" s="127">
        <f>E31+G31+I31+K31+M31</f>
        <v>6450.8882500000018</v>
      </c>
      <c r="P31" s="132">
        <f>(F31+H31+J31+L31+N31)/4</f>
        <v>0.15592914150632098</v>
      </c>
    </row>
    <row r="32" spans="1:21" x14ac:dyDescent="0.25">
      <c r="A32" s="117">
        <v>2</v>
      </c>
      <c r="B32" s="147" t="s">
        <v>151</v>
      </c>
      <c r="C32" s="147"/>
      <c r="D32" s="127">
        <f>4447+126+1</f>
        <v>4574</v>
      </c>
      <c r="E32" s="127">
        <f>E21-E31</f>
        <v>5340.1</v>
      </c>
      <c r="F32" s="148">
        <f>(E32-D32)/D32</f>
        <v>0.16749016178399659</v>
      </c>
      <c r="G32" s="127">
        <f>G21-G31</f>
        <v>5564.35</v>
      </c>
      <c r="H32" s="132">
        <f t="shared" si="0"/>
        <v>4.1993595625550079E-2</v>
      </c>
      <c r="I32" s="127">
        <f>I21-I31</f>
        <v>5977.0249999999996</v>
      </c>
      <c r="J32" s="132">
        <f t="shared" si="1"/>
        <v>7.4164098232497824E-2</v>
      </c>
      <c r="K32" s="127">
        <f>K21-K31</f>
        <v>6450.2175000000007</v>
      </c>
      <c r="L32" s="132">
        <f t="shared" si="2"/>
        <v>7.9168566301797472E-2</v>
      </c>
      <c r="M32" s="127">
        <f>M21-M31</f>
        <v>7028.419249999999</v>
      </c>
      <c r="N32" s="132">
        <f t="shared" si="3"/>
        <v>8.964065940412061E-2</v>
      </c>
      <c r="O32" s="127">
        <f>E32+G32+I32+K32+M32</f>
        <v>30360.111749999996</v>
      </c>
      <c r="P32" s="132">
        <f>(F32+H32+J32+L32+N32)/5</f>
        <v>9.049141626959252E-2</v>
      </c>
    </row>
    <row r="33" spans="1:23" s="106" customFormat="1" x14ac:dyDescent="0.25">
      <c r="A33" s="117">
        <v>3</v>
      </c>
      <c r="B33" s="147" t="s">
        <v>152</v>
      </c>
      <c r="C33" s="147"/>
      <c r="D33" s="127">
        <v>16</v>
      </c>
      <c r="E33" s="126"/>
      <c r="F33" s="148"/>
      <c r="G33" s="126"/>
      <c r="H33" s="132"/>
      <c r="I33" s="126"/>
      <c r="J33" s="132"/>
      <c r="K33" s="126"/>
      <c r="L33" s="132"/>
      <c r="M33" s="126"/>
      <c r="N33" s="132"/>
      <c r="O33" s="127"/>
      <c r="P33" s="132"/>
      <c r="Q33" s="115"/>
      <c r="R33" s="95"/>
      <c r="S33" s="95"/>
      <c r="T33" s="95"/>
      <c r="U33" s="95"/>
      <c r="V33" s="95"/>
      <c r="W33" s="106" t="s">
        <v>153</v>
      </c>
    </row>
    <row r="34" spans="1:23" s="105" customFormat="1" ht="22.5" customHeight="1" x14ac:dyDescent="0.25">
      <c r="A34" s="118" t="s">
        <v>41</v>
      </c>
      <c r="B34" s="119" t="s">
        <v>154</v>
      </c>
      <c r="C34" s="119"/>
      <c r="D34" s="121">
        <f>D35+D36+D37</f>
        <v>1982</v>
      </c>
      <c r="E34" s="121">
        <f t="shared" ref="E34:N34" si="13">E35+E36+E37</f>
        <v>0</v>
      </c>
      <c r="F34" s="121">
        <f t="shared" si="13"/>
        <v>0</v>
      </c>
      <c r="G34" s="121">
        <f t="shared" si="13"/>
        <v>0</v>
      </c>
      <c r="H34" s="121">
        <f t="shared" si="13"/>
        <v>0</v>
      </c>
      <c r="I34" s="121">
        <f t="shared" si="13"/>
        <v>0</v>
      </c>
      <c r="J34" s="121">
        <f t="shared" si="13"/>
        <v>0</v>
      </c>
      <c r="K34" s="121">
        <f t="shared" si="13"/>
        <v>0</v>
      </c>
      <c r="L34" s="121">
        <f t="shared" si="13"/>
        <v>0</v>
      </c>
      <c r="M34" s="121">
        <f t="shared" si="13"/>
        <v>0</v>
      </c>
      <c r="N34" s="121">
        <f t="shared" si="13"/>
        <v>0</v>
      </c>
      <c r="O34" s="121"/>
      <c r="P34" s="119"/>
      <c r="Q34" s="115"/>
      <c r="R34" s="95"/>
      <c r="S34" s="95"/>
      <c r="T34" s="95"/>
      <c r="U34" s="95"/>
      <c r="V34" s="95"/>
    </row>
    <row r="35" spans="1:23" x14ac:dyDescent="0.25">
      <c r="A35" s="117">
        <v>1</v>
      </c>
      <c r="B35" s="147" t="s">
        <v>155</v>
      </c>
      <c r="C35" s="147"/>
      <c r="D35" s="127">
        <v>756</v>
      </c>
      <c r="E35" s="127"/>
      <c r="F35" s="149"/>
      <c r="G35" s="127"/>
      <c r="H35" s="127"/>
      <c r="I35" s="127"/>
      <c r="J35" s="127"/>
      <c r="K35" s="127"/>
      <c r="L35" s="149"/>
      <c r="M35" s="127"/>
      <c r="N35" s="127"/>
      <c r="O35" s="127"/>
      <c r="P35" s="147"/>
      <c r="Q35" s="115"/>
      <c r="R35" s="95"/>
      <c r="S35" s="95"/>
      <c r="T35" s="95"/>
      <c r="U35" s="95"/>
      <c r="V35" s="95"/>
    </row>
    <row r="36" spans="1:23" x14ac:dyDescent="0.25">
      <c r="A36" s="117">
        <v>2</v>
      </c>
      <c r="B36" s="147" t="s">
        <v>156</v>
      </c>
      <c r="C36" s="147"/>
      <c r="D36" s="127">
        <v>661</v>
      </c>
      <c r="E36" s="127"/>
      <c r="F36" s="149"/>
      <c r="G36" s="127"/>
      <c r="H36" s="127"/>
      <c r="I36" s="127"/>
      <c r="J36" s="127"/>
      <c r="K36" s="127"/>
      <c r="L36" s="149"/>
      <c r="M36" s="127"/>
      <c r="N36" s="127"/>
      <c r="O36" s="127"/>
      <c r="P36" s="147"/>
      <c r="Q36" s="115"/>
      <c r="R36" s="95"/>
      <c r="S36" s="95"/>
      <c r="T36" s="95"/>
      <c r="U36" s="95"/>
      <c r="V36" s="95"/>
    </row>
    <row r="37" spans="1:23" ht="31.5" x14ac:dyDescent="0.25">
      <c r="A37" s="117">
        <v>3</v>
      </c>
      <c r="B37" s="150" t="s">
        <v>157</v>
      </c>
      <c r="C37" s="147"/>
      <c r="D37" s="127">
        <v>565</v>
      </c>
      <c r="E37" s="127"/>
      <c r="F37" s="149"/>
      <c r="G37" s="127"/>
      <c r="H37" s="127"/>
      <c r="I37" s="127"/>
      <c r="J37" s="127"/>
      <c r="K37" s="127"/>
      <c r="L37" s="149"/>
      <c r="M37" s="127"/>
      <c r="N37" s="127"/>
      <c r="O37" s="127"/>
      <c r="P37" s="147"/>
      <c r="Q37" s="115"/>
      <c r="R37" s="95"/>
      <c r="S37" s="95"/>
      <c r="T37" s="95"/>
      <c r="U37" s="95"/>
      <c r="V37" s="95"/>
    </row>
    <row r="38" spans="1:23" x14ac:dyDescent="0.25">
      <c r="A38" s="117"/>
      <c r="B38" s="147"/>
      <c r="C38" s="147"/>
      <c r="D38" s="127"/>
      <c r="E38" s="127"/>
      <c r="F38" s="127"/>
      <c r="G38" s="127"/>
      <c r="H38" s="127"/>
      <c r="I38" s="127"/>
      <c r="J38" s="127"/>
      <c r="K38" s="127"/>
      <c r="L38" s="127"/>
      <c r="M38" s="127"/>
      <c r="N38" s="127"/>
      <c r="O38" s="127"/>
      <c r="P38" s="147"/>
      <c r="Q38" s="115"/>
      <c r="R38" s="95"/>
      <c r="S38" s="95"/>
      <c r="T38" s="95"/>
      <c r="U38" s="95"/>
      <c r="V38" s="95"/>
    </row>
    <row r="39" spans="1:23" ht="28.5" customHeight="1" x14ac:dyDescent="0.25">
      <c r="A39" s="108"/>
      <c r="B39" s="105"/>
      <c r="C39" s="105"/>
      <c r="M39" s="246"/>
      <c r="N39" s="246"/>
      <c r="O39" s="110"/>
    </row>
    <row r="40" spans="1:23" ht="51" customHeight="1" x14ac:dyDescent="0.25">
      <c r="B40" s="241"/>
      <c r="C40" s="241"/>
      <c r="D40" s="241"/>
      <c r="E40" s="241"/>
      <c r="F40" s="241"/>
      <c r="G40" s="241"/>
      <c r="H40" s="241"/>
      <c r="I40" s="241"/>
      <c r="J40" s="241"/>
      <c r="K40" s="241"/>
      <c r="L40" s="241"/>
      <c r="M40" s="241"/>
      <c r="N40" s="241"/>
      <c r="O40" s="95"/>
    </row>
    <row r="41" spans="1:23" ht="40.5" customHeight="1" x14ac:dyDescent="0.25">
      <c r="M41" s="242"/>
      <c r="N41" s="242"/>
      <c r="O41" s="96"/>
    </row>
  </sheetData>
  <mergeCells count="17">
    <mergeCell ref="N1:P1"/>
    <mergeCell ref="M5:N5"/>
    <mergeCell ref="O5:O6"/>
    <mergeCell ref="P5:P6"/>
    <mergeCell ref="M39:N39"/>
    <mergeCell ref="A2:P2"/>
    <mergeCell ref="A3:P3"/>
    <mergeCell ref="A5:A6"/>
    <mergeCell ref="B5:B6"/>
    <mergeCell ref="C5:C6"/>
    <mergeCell ref="D5:D6"/>
    <mergeCell ref="E5:F5"/>
    <mergeCell ref="G5:H5"/>
    <mergeCell ref="I5:J5"/>
    <mergeCell ref="K5:L5"/>
    <mergeCell ref="B40:N40"/>
    <mergeCell ref="M41:N4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zoomScale="90" zoomScaleNormal="90" workbookViewId="0">
      <pane xSplit="2" ySplit="6" topLeftCell="C7" activePane="bottomRight" state="frozen"/>
      <selection pane="topRight" activeCell="C1" sqref="C1"/>
      <selection pane="bottomLeft" activeCell="A7" sqref="A7"/>
      <selection pane="bottomRight" activeCell="K5" sqref="K5"/>
    </sheetView>
  </sheetViews>
  <sheetFormatPr defaultRowHeight="15.75" x14ac:dyDescent="0.25"/>
  <cols>
    <col min="1" max="1" width="6" style="89" customWidth="1"/>
    <col min="2" max="2" width="45" style="7" customWidth="1"/>
    <col min="3" max="3" width="7.7109375" style="7" customWidth="1"/>
    <col min="4" max="4" width="8.28515625" style="7" customWidth="1"/>
    <col min="5" max="5" width="8.85546875" style="7" customWidth="1"/>
    <col min="6" max="6" width="8.5703125" style="7" customWidth="1"/>
    <col min="7" max="7" width="7.7109375" style="7" customWidth="1"/>
    <col min="8" max="8" width="8.140625" style="87" customWidth="1"/>
    <col min="9" max="9" width="9" style="87" customWidth="1"/>
    <col min="10" max="10" width="9.5703125" style="87" customWidth="1"/>
    <col min="11" max="11" width="8.85546875" style="87" customWidth="1"/>
    <col min="12" max="12" width="9.28515625" style="87" customWidth="1"/>
    <col min="13" max="13" width="7.7109375" style="87" customWidth="1"/>
    <col min="14" max="14" width="8.42578125" style="87" customWidth="1"/>
    <col min="15" max="15" width="9.85546875" style="87" customWidth="1"/>
    <col min="16" max="256" width="9.140625" style="7"/>
    <col min="257" max="257" width="6" style="7" customWidth="1"/>
    <col min="258" max="258" width="45" style="7" customWidth="1"/>
    <col min="259" max="259" width="7.7109375" style="7" customWidth="1"/>
    <col min="260" max="260" width="8.28515625" style="7" customWidth="1"/>
    <col min="261" max="261" width="8.85546875" style="7" customWidth="1"/>
    <col min="262" max="262" width="8.5703125" style="7" customWidth="1"/>
    <col min="263" max="263" width="7.7109375" style="7" customWidth="1"/>
    <col min="264" max="264" width="8.140625" style="7" customWidth="1"/>
    <col min="265" max="265" width="9" style="7" customWidth="1"/>
    <col min="266" max="266" width="9.5703125" style="7" customWidth="1"/>
    <col min="267" max="267" width="8.85546875" style="7" customWidth="1"/>
    <col min="268" max="268" width="9.28515625" style="7" customWidth="1"/>
    <col min="269" max="269" width="7.7109375" style="7" customWidth="1"/>
    <col min="270" max="270" width="8.42578125" style="7" customWidth="1"/>
    <col min="271" max="271" width="9.85546875" style="7" customWidth="1"/>
    <col min="272" max="512" width="9.140625" style="7"/>
    <col min="513" max="513" width="6" style="7" customWidth="1"/>
    <col min="514" max="514" width="45" style="7" customWidth="1"/>
    <col min="515" max="515" width="7.7109375" style="7" customWidth="1"/>
    <col min="516" max="516" width="8.28515625" style="7" customWidth="1"/>
    <col min="517" max="517" width="8.85546875" style="7" customWidth="1"/>
    <col min="518" max="518" width="8.5703125" style="7" customWidth="1"/>
    <col min="519" max="519" width="7.7109375" style="7" customWidth="1"/>
    <col min="520" max="520" width="8.140625" style="7" customWidth="1"/>
    <col min="521" max="521" width="9" style="7" customWidth="1"/>
    <col min="522" max="522" width="9.5703125" style="7" customWidth="1"/>
    <col min="523" max="523" width="8.85546875" style="7" customWidth="1"/>
    <col min="524" max="524" width="9.28515625" style="7" customWidth="1"/>
    <col min="525" max="525" width="7.7109375" style="7" customWidth="1"/>
    <col min="526" max="526" width="8.42578125" style="7" customWidth="1"/>
    <col min="527" max="527" width="9.85546875" style="7" customWidth="1"/>
    <col min="528" max="768" width="9.140625" style="7"/>
    <col min="769" max="769" width="6" style="7" customWidth="1"/>
    <col min="770" max="770" width="45" style="7" customWidth="1"/>
    <col min="771" max="771" width="7.7109375" style="7" customWidth="1"/>
    <col min="772" max="772" width="8.28515625" style="7" customWidth="1"/>
    <col min="773" max="773" width="8.85546875" style="7" customWidth="1"/>
    <col min="774" max="774" width="8.5703125" style="7" customWidth="1"/>
    <col min="775" max="775" width="7.7109375" style="7" customWidth="1"/>
    <col min="776" max="776" width="8.140625" style="7" customWidth="1"/>
    <col min="777" max="777" width="9" style="7" customWidth="1"/>
    <col min="778" max="778" width="9.5703125" style="7" customWidth="1"/>
    <col min="779" max="779" width="8.85546875" style="7" customWidth="1"/>
    <col min="780" max="780" width="9.28515625" style="7" customWidth="1"/>
    <col min="781" max="781" width="7.7109375" style="7" customWidth="1"/>
    <col min="782" max="782" width="8.42578125" style="7" customWidth="1"/>
    <col min="783" max="783" width="9.85546875" style="7" customWidth="1"/>
    <col min="784" max="1024" width="9.140625" style="7"/>
    <col min="1025" max="1025" width="6" style="7" customWidth="1"/>
    <col min="1026" max="1026" width="45" style="7" customWidth="1"/>
    <col min="1027" max="1027" width="7.7109375" style="7" customWidth="1"/>
    <col min="1028" max="1028" width="8.28515625" style="7" customWidth="1"/>
    <col min="1029" max="1029" width="8.85546875" style="7" customWidth="1"/>
    <col min="1030" max="1030" width="8.5703125" style="7" customWidth="1"/>
    <col min="1031" max="1031" width="7.7109375" style="7" customWidth="1"/>
    <col min="1032" max="1032" width="8.140625" style="7" customWidth="1"/>
    <col min="1033" max="1033" width="9" style="7" customWidth="1"/>
    <col min="1034" max="1034" width="9.5703125" style="7" customWidth="1"/>
    <col min="1035" max="1035" width="8.85546875" style="7" customWidth="1"/>
    <col min="1036" max="1036" width="9.28515625" style="7" customWidth="1"/>
    <col min="1037" max="1037" width="7.7109375" style="7" customWidth="1"/>
    <col min="1038" max="1038" width="8.42578125" style="7" customWidth="1"/>
    <col min="1039" max="1039" width="9.85546875" style="7" customWidth="1"/>
    <col min="1040" max="1280" width="9.140625" style="7"/>
    <col min="1281" max="1281" width="6" style="7" customWidth="1"/>
    <col min="1282" max="1282" width="45" style="7" customWidth="1"/>
    <col min="1283" max="1283" width="7.7109375" style="7" customWidth="1"/>
    <col min="1284" max="1284" width="8.28515625" style="7" customWidth="1"/>
    <col min="1285" max="1285" width="8.85546875" style="7" customWidth="1"/>
    <col min="1286" max="1286" width="8.5703125" style="7" customWidth="1"/>
    <col min="1287" max="1287" width="7.7109375" style="7" customWidth="1"/>
    <col min="1288" max="1288" width="8.140625" style="7" customWidth="1"/>
    <col min="1289" max="1289" width="9" style="7" customWidth="1"/>
    <col min="1290" max="1290" width="9.5703125" style="7" customWidth="1"/>
    <col min="1291" max="1291" width="8.85546875" style="7" customWidth="1"/>
    <col min="1292" max="1292" width="9.28515625" style="7" customWidth="1"/>
    <col min="1293" max="1293" width="7.7109375" style="7" customWidth="1"/>
    <col min="1294" max="1294" width="8.42578125" style="7" customWidth="1"/>
    <col min="1295" max="1295" width="9.85546875" style="7" customWidth="1"/>
    <col min="1296" max="1536" width="9.140625" style="7"/>
    <col min="1537" max="1537" width="6" style="7" customWidth="1"/>
    <col min="1538" max="1538" width="45" style="7" customWidth="1"/>
    <col min="1539" max="1539" width="7.7109375" style="7" customWidth="1"/>
    <col min="1540" max="1540" width="8.28515625" style="7" customWidth="1"/>
    <col min="1541" max="1541" width="8.85546875" style="7" customWidth="1"/>
    <col min="1542" max="1542" width="8.5703125" style="7" customWidth="1"/>
    <col min="1543" max="1543" width="7.7109375" style="7" customWidth="1"/>
    <col min="1544" max="1544" width="8.140625" style="7" customWidth="1"/>
    <col min="1545" max="1545" width="9" style="7" customWidth="1"/>
    <col min="1546" max="1546" width="9.5703125" style="7" customWidth="1"/>
    <col min="1547" max="1547" width="8.85546875" style="7" customWidth="1"/>
    <col min="1548" max="1548" width="9.28515625" style="7" customWidth="1"/>
    <col min="1549" max="1549" width="7.7109375" style="7" customWidth="1"/>
    <col min="1550" max="1550" width="8.42578125" style="7" customWidth="1"/>
    <col min="1551" max="1551" width="9.85546875" style="7" customWidth="1"/>
    <col min="1552" max="1792" width="9.140625" style="7"/>
    <col min="1793" max="1793" width="6" style="7" customWidth="1"/>
    <col min="1794" max="1794" width="45" style="7" customWidth="1"/>
    <col min="1795" max="1795" width="7.7109375" style="7" customWidth="1"/>
    <col min="1796" max="1796" width="8.28515625" style="7" customWidth="1"/>
    <col min="1797" max="1797" width="8.85546875" style="7" customWidth="1"/>
    <col min="1798" max="1798" width="8.5703125" style="7" customWidth="1"/>
    <col min="1799" max="1799" width="7.7109375" style="7" customWidth="1"/>
    <col min="1800" max="1800" width="8.140625" style="7" customWidth="1"/>
    <col min="1801" max="1801" width="9" style="7" customWidth="1"/>
    <col min="1802" max="1802" width="9.5703125" style="7" customWidth="1"/>
    <col min="1803" max="1803" width="8.85546875" style="7" customWidth="1"/>
    <col min="1804" max="1804" width="9.28515625" style="7" customWidth="1"/>
    <col min="1805" max="1805" width="7.7109375" style="7" customWidth="1"/>
    <col min="1806" max="1806" width="8.42578125" style="7" customWidth="1"/>
    <col min="1807" max="1807" width="9.85546875" style="7" customWidth="1"/>
    <col min="1808" max="2048" width="9.140625" style="7"/>
    <col min="2049" max="2049" width="6" style="7" customWidth="1"/>
    <col min="2050" max="2050" width="45" style="7" customWidth="1"/>
    <col min="2051" max="2051" width="7.7109375" style="7" customWidth="1"/>
    <col min="2052" max="2052" width="8.28515625" style="7" customWidth="1"/>
    <col min="2053" max="2053" width="8.85546875" style="7" customWidth="1"/>
    <col min="2054" max="2054" width="8.5703125" style="7" customWidth="1"/>
    <col min="2055" max="2055" width="7.7109375" style="7" customWidth="1"/>
    <col min="2056" max="2056" width="8.140625" style="7" customWidth="1"/>
    <col min="2057" max="2057" width="9" style="7" customWidth="1"/>
    <col min="2058" max="2058" width="9.5703125" style="7" customWidth="1"/>
    <col min="2059" max="2059" width="8.85546875" style="7" customWidth="1"/>
    <col min="2060" max="2060" width="9.28515625" style="7" customWidth="1"/>
    <col min="2061" max="2061" width="7.7109375" style="7" customWidth="1"/>
    <col min="2062" max="2062" width="8.42578125" style="7" customWidth="1"/>
    <col min="2063" max="2063" width="9.85546875" style="7" customWidth="1"/>
    <col min="2064" max="2304" width="9.140625" style="7"/>
    <col min="2305" max="2305" width="6" style="7" customWidth="1"/>
    <col min="2306" max="2306" width="45" style="7" customWidth="1"/>
    <col min="2307" max="2307" width="7.7109375" style="7" customWidth="1"/>
    <col min="2308" max="2308" width="8.28515625" style="7" customWidth="1"/>
    <col min="2309" max="2309" width="8.85546875" style="7" customWidth="1"/>
    <col min="2310" max="2310" width="8.5703125" style="7" customWidth="1"/>
    <col min="2311" max="2311" width="7.7109375" style="7" customWidth="1"/>
    <col min="2312" max="2312" width="8.140625" style="7" customWidth="1"/>
    <col min="2313" max="2313" width="9" style="7" customWidth="1"/>
    <col min="2314" max="2314" width="9.5703125" style="7" customWidth="1"/>
    <col min="2315" max="2315" width="8.85546875" style="7" customWidth="1"/>
    <col min="2316" max="2316" width="9.28515625" style="7" customWidth="1"/>
    <col min="2317" max="2317" width="7.7109375" style="7" customWidth="1"/>
    <col min="2318" max="2318" width="8.42578125" style="7" customWidth="1"/>
    <col min="2319" max="2319" width="9.85546875" style="7" customWidth="1"/>
    <col min="2320" max="2560" width="9.140625" style="7"/>
    <col min="2561" max="2561" width="6" style="7" customWidth="1"/>
    <col min="2562" max="2562" width="45" style="7" customWidth="1"/>
    <col min="2563" max="2563" width="7.7109375" style="7" customWidth="1"/>
    <col min="2564" max="2564" width="8.28515625" style="7" customWidth="1"/>
    <col min="2565" max="2565" width="8.85546875" style="7" customWidth="1"/>
    <col min="2566" max="2566" width="8.5703125" style="7" customWidth="1"/>
    <col min="2567" max="2567" width="7.7109375" style="7" customWidth="1"/>
    <col min="2568" max="2568" width="8.140625" style="7" customWidth="1"/>
    <col min="2569" max="2569" width="9" style="7" customWidth="1"/>
    <col min="2570" max="2570" width="9.5703125" style="7" customWidth="1"/>
    <col min="2571" max="2571" width="8.85546875" style="7" customWidth="1"/>
    <col min="2572" max="2572" width="9.28515625" style="7" customWidth="1"/>
    <col min="2573" max="2573" width="7.7109375" style="7" customWidth="1"/>
    <col min="2574" max="2574" width="8.42578125" style="7" customWidth="1"/>
    <col min="2575" max="2575" width="9.85546875" style="7" customWidth="1"/>
    <col min="2576" max="2816" width="9.140625" style="7"/>
    <col min="2817" max="2817" width="6" style="7" customWidth="1"/>
    <col min="2818" max="2818" width="45" style="7" customWidth="1"/>
    <col min="2819" max="2819" width="7.7109375" style="7" customWidth="1"/>
    <col min="2820" max="2820" width="8.28515625" style="7" customWidth="1"/>
    <col min="2821" max="2821" width="8.85546875" style="7" customWidth="1"/>
    <col min="2822" max="2822" width="8.5703125" style="7" customWidth="1"/>
    <col min="2823" max="2823" width="7.7109375" style="7" customWidth="1"/>
    <col min="2824" max="2824" width="8.140625" style="7" customWidth="1"/>
    <col min="2825" max="2825" width="9" style="7" customWidth="1"/>
    <col min="2826" max="2826" width="9.5703125" style="7" customWidth="1"/>
    <col min="2827" max="2827" width="8.85546875" style="7" customWidth="1"/>
    <col min="2828" max="2828" width="9.28515625" style="7" customWidth="1"/>
    <col min="2829" max="2829" width="7.7109375" style="7" customWidth="1"/>
    <col min="2830" max="2830" width="8.42578125" style="7" customWidth="1"/>
    <col min="2831" max="2831" width="9.85546875" style="7" customWidth="1"/>
    <col min="2832" max="3072" width="9.140625" style="7"/>
    <col min="3073" max="3073" width="6" style="7" customWidth="1"/>
    <col min="3074" max="3074" width="45" style="7" customWidth="1"/>
    <col min="3075" max="3075" width="7.7109375" style="7" customWidth="1"/>
    <col min="3076" max="3076" width="8.28515625" style="7" customWidth="1"/>
    <col min="3077" max="3077" width="8.85546875" style="7" customWidth="1"/>
    <col min="3078" max="3078" width="8.5703125" style="7" customWidth="1"/>
    <col min="3079" max="3079" width="7.7109375" style="7" customWidth="1"/>
    <col min="3080" max="3080" width="8.140625" style="7" customWidth="1"/>
    <col min="3081" max="3081" width="9" style="7" customWidth="1"/>
    <col min="3082" max="3082" width="9.5703125" style="7" customWidth="1"/>
    <col min="3083" max="3083" width="8.85546875" style="7" customWidth="1"/>
    <col min="3084" max="3084" width="9.28515625" style="7" customWidth="1"/>
    <col min="3085" max="3085" width="7.7109375" style="7" customWidth="1"/>
    <col min="3086" max="3086" width="8.42578125" style="7" customWidth="1"/>
    <col min="3087" max="3087" width="9.85546875" style="7" customWidth="1"/>
    <col min="3088" max="3328" width="9.140625" style="7"/>
    <col min="3329" max="3329" width="6" style="7" customWidth="1"/>
    <col min="3330" max="3330" width="45" style="7" customWidth="1"/>
    <col min="3331" max="3331" width="7.7109375" style="7" customWidth="1"/>
    <col min="3332" max="3332" width="8.28515625" style="7" customWidth="1"/>
    <col min="3333" max="3333" width="8.85546875" style="7" customWidth="1"/>
    <col min="3334" max="3334" width="8.5703125" style="7" customWidth="1"/>
    <col min="3335" max="3335" width="7.7109375" style="7" customWidth="1"/>
    <col min="3336" max="3336" width="8.140625" style="7" customWidth="1"/>
    <col min="3337" max="3337" width="9" style="7" customWidth="1"/>
    <col min="3338" max="3338" width="9.5703125" style="7" customWidth="1"/>
    <col min="3339" max="3339" width="8.85546875" style="7" customWidth="1"/>
    <col min="3340" max="3340" width="9.28515625" style="7" customWidth="1"/>
    <col min="3341" max="3341" width="7.7109375" style="7" customWidth="1"/>
    <col min="3342" max="3342" width="8.42578125" style="7" customWidth="1"/>
    <col min="3343" max="3343" width="9.85546875" style="7" customWidth="1"/>
    <col min="3344" max="3584" width="9.140625" style="7"/>
    <col min="3585" max="3585" width="6" style="7" customWidth="1"/>
    <col min="3586" max="3586" width="45" style="7" customWidth="1"/>
    <col min="3587" max="3587" width="7.7109375" style="7" customWidth="1"/>
    <col min="3588" max="3588" width="8.28515625" style="7" customWidth="1"/>
    <col min="3589" max="3589" width="8.85546875" style="7" customWidth="1"/>
    <col min="3590" max="3590" width="8.5703125" style="7" customWidth="1"/>
    <col min="3591" max="3591" width="7.7109375" style="7" customWidth="1"/>
    <col min="3592" max="3592" width="8.140625" style="7" customWidth="1"/>
    <col min="3593" max="3593" width="9" style="7" customWidth="1"/>
    <col min="3594" max="3594" width="9.5703125" style="7" customWidth="1"/>
    <col min="3595" max="3595" width="8.85546875" style="7" customWidth="1"/>
    <col min="3596" max="3596" width="9.28515625" style="7" customWidth="1"/>
    <col min="3597" max="3597" width="7.7109375" style="7" customWidth="1"/>
    <col min="3598" max="3598" width="8.42578125" style="7" customWidth="1"/>
    <col min="3599" max="3599" width="9.85546875" style="7" customWidth="1"/>
    <col min="3600" max="3840" width="9.140625" style="7"/>
    <col min="3841" max="3841" width="6" style="7" customWidth="1"/>
    <col min="3842" max="3842" width="45" style="7" customWidth="1"/>
    <col min="3843" max="3843" width="7.7109375" style="7" customWidth="1"/>
    <col min="3844" max="3844" width="8.28515625" style="7" customWidth="1"/>
    <col min="3845" max="3845" width="8.85546875" style="7" customWidth="1"/>
    <col min="3846" max="3846" width="8.5703125" style="7" customWidth="1"/>
    <col min="3847" max="3847" width="7.7109375" style="7" customWidth="1"/>
    <col min="3848" max="3848" width="8.140625" style="7" customWidth="1"/>
    <col min="3849" max="3849" width="9" style="7" customWidth="1"/>
    <col min="3850" max="3850" width="9.5703125" style="7" customWidth="1"/>
    <col min="3851" max="3851" width="8.85546875" style="7" customWidth="1"/>
    <col min="3852" max="3852" width="9.28515625" style="7" customWidth="1"/>
    <col min="3853" max="3853" width="7.7109375" style="7" customWidth="1"/>
    <col min="3854" max="3854" width="8.42578125" style="7" customWidth="1"/>
    <col min="3855" max="3855" width="9.85546875" style="7" customWidth="1"/>
    <col min="3856" max="4096" width="9.140625" style="7"/>
    <col min="4097" max="4097" width="6" style="7" customWidth="1"/>
    <col min="4098" max="4098" width="45" style="7" customWidth="1"/>
    <col min="4099" max="4099" width="7.7109375" style="7" customWidth="1"/>
    <col min="4100" max="4100" width="8.28515625" style="7" customWidth="1"/>
    <col min="4101" max="4101" width="8.85546875" style="7" customWidth="1"/>
    <col min="4102" max="4102" width="8.5703125" style="7" customWidth="1"/>
    <col min="4103" max="4103" width="7.7109375" style="7" customWidth="1"/>
    <col min="4104" max="4104" width="8.140625" style="7" customWidth="1"/>
    <col min="4105" max="4105" width="9" style="7" customWidth="1"/>
    <col min="4106" max="4106" width="9.5703125" style="7" customWidth="1"/>
    <col min="4107" max="4107" width="8.85546875" style="7" customWidth="1"/>
    <col min="4108" max="4108" width="9.28515625" style="7" customWidth="1"/>
    <col min="4109" max="4109" width="7.7109375" style="7" customWidth="1"/>
    <col min="4110" max="4110" width="8.42578125" style="7" customWidth="1"/>
    <col min="4111" max="4111" width="9.85546875" style="7" customWidth="1"/>
    <col min="4112" max="4352" width="9.140625" style="7"/>
    <col min="4353" max="4353" width="6" style="7" customWidth="1"/>
    <col min="4354" max="4354" width="45" style="7" customWidth="1"/>
    <col min="4355" max="4355" width="7.7109375" style="7" customWidth="1"/>
    <col min="4356" max="4356" width="8.28515625" style="7" customWidth="1"/>
    <col min="4357" max="4357" width="8.85546875" style="7" customWidth="1"/>
    <col min="4358" max="4358" width="8.5703125" style="7" customWidth="1"/>
    <col min="4359" max="4359" width="7.7109375" style="7" customWidth="1"/>
    <col min="4360" max="4360" width="8.140625" style="7" customWidth="1"/>
    <col min="4361" max="4361" width="9" style="7" customWidth="1"/>
    <col min="4362" max="4362" width="9.5703125" style="7" customWidth="1"/>
    <col min="4363" max="4363" width="8.85546875" style="7" customWidth="1"/>
    <col min="4364" max="4364" width="9.28515625" style="7" customWidth="1"/>
    <col min="4365" max="4365" width="7.7109375" style="7" customWidth="1"/>
    <col min="4366" max="4366" width="8.42578125" style="7" customWidth="1"/>
    <col min="4367" max="4367" width="9.85546875" style="7" customWidth="1"/>
    <col min="4368" max="4608" width="9.140625" style="7"/>
    <col min="4609" max="4609" width="6" style="7" customWidth="1"/>
    <col min="4610" max="4610" width="45" style="7" customWidth="1"/>
    <col min="4611" max="4611" width="7.7109375" style="7" customWidth="1"/>
    <col min="4612" max="4612" width="8.28515625" style="7" customWidth="1"/>
    <col min="4613" max="4613" width="8.85546875" style="7" customWidth="1"/>
    <col min="4614" max="4614" width="8.5703125" style="7" customWidth="1"/>
    <col min="4615" max="4615" width="7.7109375" style="7" customWidth="1"/>
    <col min="4616" max="4616" width="8.140625" style="7" customWidth="1"/>
    <col min="4617" max="4617" width="9" style="7" customWidth="1"/>
    <col min="4618" max="4618" width="9.5703125" style="7" customWidth="1"/>
    <col min="4619" max="4619" width="8.85546875" style="7" customWidth="1"/>
    <col min="4620" max="4620" width="9.28515625" style="7" customWidth="1"/>
    <col min="4621" max="4621" width="7.7109375" style="7" customWidth="1"/>
    <col min="4622" max="4622" width="8.42578125" style="7" customWidth="1"/>
    <col min="4623" max="4623" width="9.85546875" style="7" customWidth="1"/>
    <col min="4624" max="4864" width="9.140625" style="7"/>
    <col min="4865" max="4865" width="6" style="7" customWidth="1"/>
    <col min="4866" max="4866" width="45" style="7" customWidth="1"/>
    <col min="4867" max="4867" width="7.7109375" style="7" customWidth="1"/>
    <col min="4868" max="4868" width="8.28515625" style="7" customWidth="1"/>
    <col min="4869" max="4869" width="8.85546875" style="7" customWidth="1"/>
    <col min="4870" max="4870" width="8.5703125" style="7" customWidth="1"/>
    <col min="4871" max="4871" width="7.7109375" style="7" customWidth="1"/>
    <col min="4872" max="4872" width="8.140625" style="7" customWidth="1"/>
    <col min="4873" max="4873" width="9" style="7" customWidth="1"/>
    <col min="4874" max="4874" width="9.5703125" style="7" customWidth="1"/>
    <col min="4875" max="4875" width="8.85546875" style="7" customWidth="1"/>
    <col min="4876" max="4876" width="9.28515625" style="7" customWidth="1"/>
    <col min="4877" max="4877" width="7.7109375" style="7" customWidth="1"/>
    <col min="4878" max="4878" width="8.42578125" style="7" customWidth="1"/>
    <col min="4879" max="4879" width="9.85546875" style="7" customWidth="1"/>
    <col min="4880" max="5120" width="9.140625" style="7"/>
    <col min="5121" max="5121" width="6" style="7" customWidth="1"/>
    <col min="5122" max="5122" width="45" style="7" customWidth="1"/>
    <col min="5123" max="5123" width="7.7109375" style="7" customWidth="1"/>
    <col min="5124" max="5124" width="8.28515625" style="7" customWidth="1"/>
    <col min="5125" max="5125" width="8.85546875" style="7" customWidth="1"/>
    <col min="5126" max="5126" width="8.5703125" style="7" customWidth="1"/>
    <col min="5127" max="5127" width="7.7109375" style="7" customWidth="1"/>
    <col min="5128" max="5128" width="8.140625" style="7" customWidth="1"/>
    <col min="5129" max="5129" width="9" style="7" customWidth="1"/>
    <col min="5130" max="5130" width="9.5703125" style="7" customWidth="1"/>
    <col min="5131" max="5131" width="8.85546875" style="7" customWidth="1"/>
    <col min="5132" max="5132" width="9.28515625" style="7" customWidth="1"/>
    <col min="5133" max="5133" width="7.7109375" style="7" customWidth="1"/>
    <col min="5134" max="5134" width="8.42578125" style="7" customWidth="1"/>
    <col min="5135" max="5135" width="9.85546875" style="7" customWidth="1"/>
    <col min="5136" max="5376" width="9.140625" style="7"/>
    <col min="5377" max="5377" width="6" style="7" customWidth="1"/>
    <col min="5378" max="5378" width="45" style="7" customWidth="1"/>
    <col min="5379" max="5379" width="7.7109375" style="7" customWidth="1"/>
    <col min="5380" max="5380" width="8.28515625" style="7" customWidth="1"/>
    <col min="5381" max="5381" width="8.85546875" style="7" customWidth="1"/>
    <col min="5382" max="5382" width="8.5703125" style="7" customWidth="1"/>
    <col min="5383" max="5383" width="7.7109375" style="7" customWidth="1"/>
    <col min="5384" max="5384" width="8.140625" style="7" customWidth="1"/>
    <col min="5385" max="5385" width="9" style="7" customWidth="1"/>
    <col min="5386" max="5386" width="9.5703125" style="7" customWidth="1"/>
    <col min="5387" max="5387" width="8.85546875" style="7" customWidth="1"/>
    <col min="5388" max="5388" width="9.28515625" style="7" customWidth="1"/>
    <col min="5389" max="5389" width="7.7109375" style="7" customWidth="1"/>
    <col min="5390" max="5390" width="8.42578125" style="7" customWidth="1"/>
    <col min="5391" max="5391" width="9.85546875" style="7" customWidth="1"/>
    <col min="5392" max="5632" width="9.140625" style="7"/>
    <col min="5633" max="5633" width="6" style="7" customWidth="1"/>
    <col min="5634" max="5634" width="45" style="7" customWidth="1"/>
    <col min="5635" max="5635" width="7.7109375" style="7" customWidth="1"/>
    <col min="5636" max="5636" width="8.28515625" style="7" customWidth="1"/>
    <col min="5637" max="5637" width="8.85546875" style="7" customWidth="1"/>
    <col min="5638" max="5638" width="8.5703125" style="7" customWidth="1"/>
    <col min="5639" max="5639" width="7.7109375" style="7" customWidth="1"/>
    <col min="5640" max="5640" width="8.140625" style="7" customWidth="1"/>
    <col min="5641" max="5641" width="9" style="7" customWidth="1"/>
    <col min="5642" max="5642" width="9.5703125" style="7" customWidth="1"/>
    <col min="5643" max="5643" width="8.85546875" style="7" customWidth="1"/>
    <col min="5644" max="5644" width="9.28515625" style="7" customWidth="1"/>
    <col min="5645" max="5645" width="7.7109375" style="7" customWidth="1"/>
    <col min="5646" max="5646" width="8.42578125" style="7" customWidth="1"/>
    <col min="5647" max="5647" width="9.85546875" style="7" customWidth="1"/>
    <col min="5648" max="5888" width="9.140625" style="7"/>
    <col min="5889" max="5889" width="6" style="7" customWidth="1"/>
    <col min="5890" max="5890" width="45" style="7" customWidth="1"/>
    <col min="5891" max="5891" width="7.7109375" style="7" customWidth="1"/>
    <col min="5892" max="5892" width="8.28515625" style="7" customWidth="1"/>
    <col min="5893" max="5893" width="8.85546875" style="7" customWidth="1"/>
    <col min="5894" max="5894" width="8.5703125" style="7" customWidth="1"/>
    <col min="5895" max="5895" width="7.7109375" style="7" customWidth="1"/>
    <col min="5896" max="5896" width="8.140625" style="7" customWidth="1"/>
    <col min="5897" max="5897" width="9" style="7" customWidth="1"/>
    <col min="5898" max="5898" width="9.5703125" style="7" customWidth="1"/>
    <col min="5899" max="5899" width="8.85546875" style="7" customWidth="1"/>
    <col min="5900" max="5900" width="9.28515625" style="7" customWidth="1"/>
    <col min="5901" max="5901" width="7.7109375" style="7" customWidth="1"/>
    <col min="5902" max="5902" width="8.42578125" style="7" customWidth="1"/>
    <col min="5903" max="5903" width="9.85546875" style="7" customWidth="1"/>
    <col min="5904" max="6144" width="9.140625" style="7"/>
    <col min="6145" max="6145" width="6" style="7" customWidth="1"/>
    <col min="6146" max="6146" width="45" style="7" customWidth="1"/>
    <col min="6147" max="6147" width="7.7109375" style="7" customWidth="1"/>
    <col min="6148" max="6148" width="8.28515625" style="7" customWidth="1"/>
    <col min="6149" max="6149" width="8.85546875" style="7" customWidth="1"/>
    <col min="6150" max="6150" width="8.5703125" style="7" customWidth="1"/>
    <col min="6151" max="6151" width="7.7109375" style="7" customWidth="1"/>
    <col min="6152" max="6152" width="8.140625" style="7" customWidth="1"/>
    <col min="6153" max="6153" width="9" style="7" customWidth="1"/>
    <col min="6154" max="6154" width="9.5703125" style="7" customWidth="1"/>
    <col min="6155" max="6155" width="8.85546875" style="7" customWidth="1"/>
    <col min="6156" max="6156" width="9.28515625" style="7" customWidth="1"/>
    <col min="6157" max="6157" width="7.7109375" style="7" customWidth="1"/>
    <col min="6158" max="6158" width="8.42578125" style="7" customWidth="1"/>
    <col min="6159" max="6159" width="9.85546875" style="7" customWidth="1"/>
    <col min="6160" max="6400" width="9.140625" style="7"/>
    <col min="6401" max="6401" width="6" style="7" customWidth="1"/>
    <col min="6402" max="6402" width="45" style="7" customWidth="1"/>
    <col min="6403" max="6403" width="7.7109375" style="7" customWidth="1"/>
    <col min="6404" max="6404" width="8.28515625" style="7" customWidth="1"/>
    <col min="6405" max="6405" width="8.85546875" style="7" customWidth="1"/>
    <col min="6406" max="6406" width="8.5703125" style="7" customWidth="1"/>
    <col min="6407" max="6407" width="7.7109375" style="7" customWidth="1"/>
    <col min="6408" max="6408" width="8.140625" style="7" customWidth="1"/>
    <col min="6409" max="6409" width="9" style="7" customWidth="1"/>
    <col min="6410" max="6410" width="9.5703125" style="7" customWidth="1"/>
    <col min="6411" max="6411" width="8.85546875" style="7" customWidth="1"/>
    <col min="6412" max="6412" width="9.28515625" style="7" customWidth="1"/>
    <col min="6413" max="6413" width="7.7109375" style="7" customWidth="1"/>
    <col min="6414" max="6414" width="8.42578125" style="7" customWidth="1"/>
    <col min="6415" max="6415" width="9.85546875" style="7" customWidth="1"/>
    <col min="6416" max="6656" width="9.140625" style="7"/>
    <col min="6657" max="6657" width="6" style="7" customWidth="1"/>
    <col min="6658" max="6658" width="45" style="7" customWidth="1"/>
    <col min="6659" max="6659" width="7.7109375" style="7" customWidth="1"/>
    <col min="6660" max="6660" width="8.28515625" style="7" customWidth="1"/>
    <col min="6661" max="6661" width="8.85546875" style="7" customWidth="1"/>
    <col min="6662" max="6662" width="8.5703125" style="7" customWidth="1"/>
    <col min="6663" max="6663" width="7.7109375" style="7" customWidth="1"/>
    <col min="6664" max="6664" width="8.140625" style="7" customWidth="1"/>
    <col min="6665" max="6665" width="9" style="7" customWidth="1"/>
    <col min="6666" max="6666" width="9.5703125" style="7" customWidth="1"/>
    <col min="6667" max="6667" width="8.85546875" style="7" customWidth="1"/>
    <col min="6668" max="6668" width="9.28515625" style="7" customWidth="1"/>
    <col min="6669" max="6669" width="7.7109375" style="7" customWidth="1"/>
    <col min="6670" max="6670" width="8.42578125" style="7" customWidth="1"/>
    <col min="6671" max="6671" width="9.85546875" style="7" customWidth="1"/>
    <col min="6672" max="6912" width="9.140625" style="7"/>
    <col min="6913" max="6913" width="6" style="7" customWidth="1"/>
    <col min="6914" max="6914" width="45" style="7" customWidth="1"/>
    <col min="6915" max="6915" width="7.7109375" style="7" customWidth="1"/>
    <col min="6916" max="6916" width="8.28515625" style="7" customWidth="1"/>
    <col min="6917" max="6917" width="8.85546875" style="7" customWidth="1"/>
    <col min="6918" max="6918" width="8.5703125" style="7" customWidth="1"/>
    <col min="6919" max="6919" width="7.7109375" style="7" customWidth="1"/>
    <col min="6920" max="6920" width="8.140625" style="7" customWidth="1"/>
    <col min="6921" max="6921" width="9" style="7" customWidth="1"/>
    <col min="6922" max="6922" width="9.5703125" style="7" customWidth="1"/>
    <col min="6923" max="6923" width="8.85546875" style="7" customWidth="1"/>
    <col min="6924" max="6924" width="9.28515625" style="7" customWidth="1"/>
    <col min="6925" max="6925" width="7.7109375" style="7" customWidth="1"/>
    <col min="6926" max="6926" width="8.42578125" style="7" customWidth="1"/>
    <col min="6927" max="6927" width="9.85546875" style="7" customWidth="1"/>
    <col min="6928" max="7168" width="9.140625" style="7"/>
    <col min="7169" max="7169" width="6" style="7" customWidth="1"/>
    <col min="7170" max="7170" width="45" style="7" customWidth="1"/>
    <col min="7171" max="7171" width="7.7109375" style="7" customWidth="1"/>
    <col min="7172" max="7172" width="8.28515625" style="7" customWidth="1"/>
    <col min="7173" max="7173" width="8.85546875" style="7" customWidth="1"/>
    <col min="7174" max="7174" width="8.5703125" style="7" customWidth="1"/>
    <col min="7175" max="7175" width="7.7109375" style="7" customWidth="1"/>
    <col min="7176" max="7176" width="8.140625" style="7" customWidth="1"/>
    <col min="7177" max="7177" width="9" style="7" customWidth="1"/>
    <col min="7178" max="7178" width="9.5703125" style="7" customWidth="1"/>
    <col min="7179" max="7179" width="8.85546875" style="7" customWidth="1"/>
    <col min="7180" max="7180" width="9.28515625" style="7" customWidth="1"/>
    <col min="7181" max="7181" width="7.7109375" style="7" customWidth="1"/>
    <col min="7182" max="7182" width="8.42578125" style="7" customWidth="1"/>
    <col min="7183" max="7183" width="9.85546875" style="7" customWidth="1"/>
    <col min="7184" max="7424" width="9.140625" style="7"/>
    <col min="7425" max="7425" width="6" style="7" customWidth="1"/>
    <col min="7426" max="7426" width="45" style="7" customWidth="1"/>
    <col min="7427" max="7427" width="7.7109375" style="7" customWidth="1"/>
    <col min="7428" max="7428" width="8.28515625" style="7" customWidth="1"/>
    <col min="7429" max="7429" width="8.85546875" style="7" customWidth="1"/>
    <col min="7430" max="7430" width="8.5703125" style="7" customWidth="1"/>
    <col min="7431" max="7431" width="7.7109375" style="7" customWidth="1"/>
    <col min="7432" max="7432" width="8.140625" style="7" customWidth="1"/>
    <col min="7433" max="7433" width="9" style="7" customWidth="1"/>
    <col min="7434" max="7434" width="9.5703125" style="7" customWidth="1"/>
    <col min="7435" max="7435" width="8.85546875" style="7" customWidth="1"/>
    <col min="7436" max="7436" width="9.28515625" style="7" customWidth="1"/>
    <col min="7437" max="7437" width="7.7109375" style="7" customWidth="1"/>
    <col min="7438" max="7438" width="8.42578125" style="7" customWidth="1"/>
    <col min="7439" max="7439" width="9.85546875" style="7" customWidth="1"/>
    <col min="7440" max="7680" width="9.140625" style="7"/>
    <col min="7681" max="7681" width="6" style="7" customWidth="1"/>
    <col min="7682" max="7682" width="45" style="7" customWidth="1"/>
    <col min="7683" max="7683" width="7.7109375" style="7" customWidth="1"/>
    <col min="7684" max="7684" width="8.28515625" style="7" customWidth="1"/>
    <col min="7685" max="7685" width="8.85546875" style="7" customWidth="1"/>
    <col min="7686" max="7686" width="8.5703125" style="7" customWidth="1"/>
    <col min="7687" max="7687" width="7.7109375" style="7" customWidth="1"/>
    <col min="7688" max="7688" width="8.140625" style="7" customWidth="1"/>
    <col min="7689" max="7689" width="9" style="7" customWidth="1"/>
    <col min="7690" max="7690" width="9.5703125" style="7" customWidth="1"/>
    <col min="7691" max="7691" width="8.85546875" style="7" customWidth="1"/>
    <col min="7692" max="7692" width="9.28515625" style="7" customWidth="1"/>
    <col min="7693" max="7693" width="7.7109375" style="7" customWidth="1"/>
    <col min="7694" max="7694" width="8.42578125" style="7" customWidth="1"/>
    <col min="7695" max="7695" width="9.85546875" style="7" customWidth="1"/>
    <col min="7696" max="7936" width="9.140625" style="7"/>
    <col min="7937" max="7937" width="6" style="7" customWidth="1"/>
    <col min="7938" max="7938" width="45" style="7" customWidth="1"/>
    <col min="7939" max="7939" width="7.7109375" style="7" customWidth="1"/>
    <col min="7940" max="7940" width="8.28515625" style="7" customWidth="1"/>
    <col min="7941" max="7941" width="8.85546875" style="7" customWidth="1"/>
    <col min="7942" max="7942" width="8.5703125" style="7" customWidth="1"/>
    <col min="7943" max="7943" width="7.7109375" style="7" customWidth="1"/>
    <col min="7944" max="7944" width="8.140625" style="7" customWidth="1"/>
    <col min="7945" max="7945" width="9" style="7" customWidth="1"/>
    <col min="7946" max="7946" width="9.5703125" style="7" customWidth="1"/>
    <col min="7947" max="7947" width="8.85546875" style="7" customWidth="1"/>
    <col min="7948" max="7948" width="9.28515625" style="7" customWidth="1"/>
    <col min="7949" max="7949" width="7.7109375" style="7" customWidth="1"/>
    <col min="7950" max="7950" width="8.42578125" style="7" customWidth="1"/>
    <col min="7951" max="7951" width="9.85546875" style="7" customWidth="1"/>
    <col min="7952" max="8192" width="9.140625" style="7"/>
    <col min="8193" max="8193" width="6" style="7" customWidth="1"/>
    <col min="8194" max="8194" width="45" style="7" customWidth="1"/>
    <col min="8195" max="8195" width="7.7109375" style="7" customWidth="1"/>
    <col min="8196" max="8196" width="8.28515625" style="7" customWidth="1"/>
    <col min="8197" max="8197" width="8.85546875" style="7" customWidth="1"/>
    <col min="8198" max="8198" width="8.5703125" style="7" customWidth="1"/>
    <col min="8199" max="8199" width="7.7109375" style="7" customWidth="1"/>
    <col min="8200" max="8200" width="8.140625" style="7" customWidth="1"/>
    <col min="8201" max="8201" width="9" style="7" customWidth="1"/>
    <col min="8202" max="8202" width="9.5703125" style="7" customWidth="1"/>
    <col min="8203" max="8203" width="8.85546875" style="7" customWidth="1"/>
    <col min="8204" max="8204" width="9.28515625" style="7" customWidth="1"/>
    <col min="8205" max="8205" width="7.7109375" style="7" customWidth="1"/>
    <col min="8206" max="8206" width="8.42578125" style="7" customWidth="1"/>
    <col min="8207" max="8207" width="9.85546875" style="7" customWidth="1"/>
    <col min="8208" max="8448" width="9.140625" style="7"/>
    <col min="8449" max="8449" width="6" style="7" customWidth="1"/>
    <col min="8450" max="8450" width="45" style="7" customWidth="1"/>
    <col min="8451" max="8451" width="7.7109375" style="7" customWidth="1"/>
    <col min="8452" max="8452" width="8.28515625" style="7" customWidth="1"/>
    <col min="8453" max="8453" width="8.85546875" style="7" customWidth="1"/>
    <col min="8454" max="8454" width="8.5703125" style="7" customWidth="1"/>
    <col min="8455" max="8455" width="7.7109375" style="7" customWidth="1"/>
    <col min="8456" max="8456" width="8.140625" style="7" customWidth="1"/>
    <col min="8457" max="8457" width="9" style="7" customWidth="1"/>
    <col min="8458" max="8458" width="9.5703125" style="7" customWidth="1"/>
    <col min="8459" max="8459" width="8.85546875" style="7" customWidth="1"/>
    <col min="8460" max="8460" width="9.28515625" style="7" customWidth="1"/>
    <col min="8461" max="8461" width="7.7109375" style="7" customWidth="1"/>
    <col min="8462" max="8462" width="8.42578125" style="7" customWidth="1"/>
    <col min="8463" max="8463" width="9.85546875" style="7" customWidth="1"/>
    <col min="8464" max="8704" width="9.140625" style="7"/>
    <col min="8705" max="8705" width="6" style="7" customWidth="1"/>
    <col min="8706" max="8706" width="45" style="7" customWidth="1"/>
    <col min="8707" max="8707" width="7.7109375" style="7" customWidth="1"/>
    <col min="8708" max="8708" width="8.28515625" style="7" customWidth="1"/>
    <col min="8709" max="8709" width="8.85546875" style="7" customWidth="1"/>
    <col min="8710" max="8710" width="8.5703125" style="7" customWidth="1"/>
    <col min="8711" max="8711" width="7.7109375" style="7" customWidth="1"/>
    <col min="8712" max="8712" width="8.140625" style="7" customWidth="1"/>
    <col min="8713" max="8713" width="9" style="7" customWidth="1"/>
    <col min="8714" max="8714" width="9.5703125" style="7" customWidth="1"/>
    <col min="8715" max="8715" width="8.85546875" style="7" customWidth="1"/>
    <col min="8716" max="8716" width="9.28515625" style="7" customWidth="1"/>
    <col min="8717" max="8717" width="7.7109375" style="7" customWidth="1"/>
    <col min="8718" max="8718" width="8.42578125" style="7" customWidth="1"/>
    <col min="8719" max="8719" width="9.85546875" style="7" customWidth="1"/>
    <col min="8720" max="8960" width="9.140625" style="7"/>
    <col min="8961" max="8961" width="6" style="7" customWidth="1"/>
    <col min="8962" max="8962" width="45" style="7" customWidth="1"/>
    <col min="8963" max="8963" width="7.7109375" style="7" customWidth="1"/>
    <col min="8964" max="8964" width="8.28515625" style="7" customWidth="1"/>
    <col min="8965" max="8965" width="8.85546875" style="7" customWidth="1"/>
    <col min="8966" max="8966" width="8.5703125" style="7" customWidth="1"/>
    <col min="8967" max="8967" width="7.7109375" style="7" customWidth="1"/>
    <col min="8968" max="8968" width="8.140625" style="7" customWidth="1"/>
    <col min="8969" max="8969" width="9" style="7" customWidth="1"/>
    <col min="8970" max="8970" width="9.5703125" style="7" customWidth="1"/>
    <col min="8971" max="8971" width="8.85546875" style="7" customWidth="1"/>
    <col min="8972" max="8972" width="9.28515625" style="7" customWidth="1"/>
    <col min="8973" max="8973" width="7.7109375" style="7" customWidth="1"/>
    <col min="8974" max="8974" width="8.42578125" style="7" customWidth="1"/>
    <col min="8975" max="8975" width="9.85546875" style="7" customWidth="1"/>
    <col min="8976" max="9216" width="9.140625" style="7"/>
    <col min="9217" max="9217" width="6" style="7" customWidth="1"/>
    <col min="9218" max="9218" width="45" style="7" customWidth="1"/>
    <col min="9219" max="9219" width="7.7109375" style="7" customWidth="1"/>
    <col min="9220" max="9220" width="8.28515625" style="7" customWidth="1"/>
    <col min="9221" max="9221" width="8.85546875" style="7" customWidth="1"/>
    <col min="9222" max="9222" width="8.5703125" style="7" customWidth="1"/>
    <col min="9223" max="9223" width="7.7109375" style="7" customWidth="1"/>
    <col min="9224" max="9224" width="8.140625" style="7" customWidth="1"/>
    <col min="9225" max="9225" width="9" style="7" customWidth="1"/>
    <col min="9226" max="9226" width="9.5703125" style="7" customWidth="1"/>
    <col min="9227" max="9227" width="8.85546875" style="7" customWidth="1"/>
    <col min="9228" max="9228" width="9.28515625" style="7" customWidth="1"/>
    <col min="9229" max="9229" width="7.7109375" style="7" customWidth="1"/>
    <col min="9230" max="9230" width="8.42578125" style="7" customWidth="1"/>
    <col min="9231" max="9231" width="9.85546875" style="7" customWidth="1"/>
    <col min="9232" max="9472" width="9.140625" style="7"/>
    <col min="9473" max="9473" width="6" style="7" customWidth="1"/>
    <col min="9474" max="9474" width="45" style="7" customWidth="1"/>
    <col min="9475" max="9475" width="7.7109375" style="7" customWidth="1"/>
    <col min="9476" max="9476" width="8.28515625" style="7" customWidth="1"/>
    <col min="9477" max="9477" width="8.85546875" style="7" customWidth="1"/>
    <col min="9478" max="9478" width="8.5703125" style="7" customWidth="1"/>
    <col min="9479" max="9479" width="7.7109375" style="7" customWidth="1"/>
    <col min="9480" max="9480" width="8.140625" style="7" customWidth="1"/>
    <col min="9481" max="9481" width="9" style="7" customWidth="1"/>
    <col min="9482" max="9482" width="9.5703125" style="7" customWidth="1"/>
    <col min="9483" max="9483" width="8.85546875" style="7" customWidth="1"/>
    <col min="9484" max="9484" width="9.28515625" style="7" customWidth="1"/>
    <col min="9485" max="9485" width="7.7109375" style="7" customWidth="1"/>
    <col min="9486" max="9486" width="8.42578125" style="7" customWidth="1"/>
    <col min="9487" max="9487" width="9.85546875" style="7" customWidth="1"/>
    <col min="9488" max="9728" width="9.140625" style="7"/>
    <col min="9729" max="9729" width="6" style="7" customWidth="1"/>
    <col min="9730" max="9730" width="45" style="7" customWidth="1"/>
    <col min="9731" max="9731" width="7.7109375" style="7" customWidth="1"/>
    <col min="9732" max="9732" width="8.28515625" style="7" customWidth="1"/>
    <col min="9733" max="9733" width="8.85546875" style="7" customWidth="1"/>
    <col min="9734" max="9734" width="8.5703125" style="7" customWidth="1"/>
    <col min="9735" max="9735" width="7.7109375" style="7" customWidth="1"/>
    <col min="9736" max="9736" width="8.140625" style="7" customWidth="1"/>
    <col min="9737" max="9737" width="9" style="7" customWidth="1"/>
    <col min="9738" max="9738" width="9.5703125" style="7" customWidth="1"/>
    <col min="9739" max="9739" width="8.85546875" style="7" customWidth="1"/>
    <col min="9740" max="9740" width="9.28515625" style="7" customWidth="1"/>
    <col min="9741" max="9741" width="7.7109375" style="7" customWidth="1"/>
    <col min="9742" max="9742" width="8.42578125" style="7" customWidth="1"/>
    <col min="9743" max="9743" width="9.85546875" style="7" customWidth="1"/>
    <col min="9744" max="9984" width="9.140625" style="7"/>
    <col min="9985" max="9985" width="6" style="7" customWidth="1"/>
    <col min="9986" max="9986" width="45" style="7" customWidth="1"/>
    <col min="9987" max="9987" width="7.7109375" style="7" customWidth="1"/>
    <col min="9988" max="9988" width="8.28515625" style="7" customWidth="1"/>
    <col min="9989" max="9989" width="8.85546875" style="7" customWidth="1"/>
    <col min="9990" max="9990" width="8.5703125" style="7" customWidth="1"/>
    <col min="9991" max="9991" width="7.7109375" style="7" customWidth="1"/>
    <col min="9992" max="9992" width="8.140625" style="7" customWidth="1"/>
    <col min="9993" max="9993" width="9" style="7" customWidth="1"/>
    <col min="9994" max="9994" width="9.5703125" style="7" customWidth="1"/>
    <col min="9995" max="9995" width="8.85546875" style="7" customWidth="1"/>
    <col min="9996" max="9996" width="9.28515625" style="7" customWidth="1"/>
    <col min="9997" max="9997" width="7.7109375" style="7" customWidth="1"/>
    <col min="9998" max="9998" width="8.42578125" style="7" customWidth="1"/>
    <col min="9999" max="9999" width="9.85546875" style="7" customWidth="1"/>
    <col min="10000" max="10240" width="9.140625" style="7"/>
    <col min="10241" max="10241" width="6" style="7" customWidth="1"/>
    <col min="10242" max="10242" width="45" style="7" customWidth="1"/>
    <col min="10243" max="10243" width="7.7109375" style="7" customWidth="1"/>
    <col min="10244" max="10244" width="8.28515625" style="7" customWidth="1"/>
    <col min="10245" max="10245" width="8.85546875" style="7" customWidth="1"/>
    <col min="10246" max="10246" width="8.5703125" style="7" customWidth="1"/>
    <col min="10247" max="10247" width="7.7109375" style="7" customWidth="1"/>
    <col min="10248" max="10248" width="8.140625" style="7" customWidth="1"/>
    <col min="10249" max="10249" width="9" style="7" customWidth="1"/>
    <col min="10250" max="10250" width="9.5703125" style="7" customWidth="1"/>
    <col min="10251" max="10251" width="8.85546875" style="7" customWidth="1"/>
    <col min="10252" max="10252" width="9.28515625" style="7" customWidth="1"/>
    <col min="10253" max="10253" width="7.7109375" style="7" customWidth="1"/>
    <col min="10254" max="10254" width="8.42578125" style="7" customWidth="1"/>
    <col min="10255" max="10255" width="9.85546875" style="7" customWidth="1"/>
    <col min="10256" max="10496" width="9.140625" style="7"/>
    <col min="10497" max="10497" width="6" style="7" customWidth="1"/>
    <col min="10498" max="10498" width="45" style="7" customWidth="1"/>
    <col min="10499" max="10499" width="7.7109375" style="7" customWidth="1"/>
    <col min="10500" max="10500" width="8.28515625" style="7" customWidth="1"/>
    <col min="10501" max="10501" width="8.85546875" style="7" customWidth="1"/>
    <col min="10502" max="10502" width="8.5703125" style="7" customWidth="1"/>
    <col min="10503" max="10503" width="7.7109375" style="7" customWidth="1"/>
    <col min="10504" max="10504" width="8.140625" style="7" customWidth="1"/>
    <col min="10505" max="10505" width="9" style="7" customWidth="1"/>
    <col min="10506" max="10506" width="9.5703125" style="7" customWidth="1"/>
    <col min="10507" max="10507" width="8.85546875" style="7" customWidth="1"/>
    <col min="10508" max="10508" width="9.28515625" style="7" customWidth="1"/>
    <col min="10509" max="10509" width="7.7109375" style="7" customWidth="1"/>
    <col min="10510" max="10510" width="8.42578125" style="7" customWidth="1"/>
    <col min="10511" max="10511" width="9.85546875" style="7" customWidth="1"/>
    <col min="10512" max="10752" width="9.140625" style="7"/>
    <col min="10753" max="10753" width="6" style="7" customWidth="1"/>
    <col min="10754" max="10754" width="45" style="7" customWidth="1"/>
    <col min="10755" max="10755" width="7.7109375" style="7" customWidth="1"/>
    <col min="10756" max="10756" width="8.28515625" style="7" customWidth="1"/>
    <col min="10757" max="10757" width="8.85546875" style="7" customWidth="1"/>
    <col min="10758" max="10758" width="8.5703125" style="7" customWidth="1"/>
    <col min="10759" max="10759" width="7.7109375" style="7" customWidth="1"/>
    <col min="10760" max="10760" width="8.140625" style="7" customWidth="1"/>
    <col min="10761" max="10761" width="9" style="7" customWidth="1"/>
    <col min="10762" max="10762" width="9.5703125" style="7" customWidth="1"/>
    <col min="10763" max="10763" width="8.85546875" style="7" customWidth="1"/>
    <col min="10764" max="10764" width="9.28515625" style="7" customWidth="1"/>
    <col min="10765" max="10765" width="7.7109375" style="7" customWidth="1"/>
    <col min="10766" max="10766" width="8.42578125" style="7" customWidth="1"/>
    <col min="10767" max="10767" width="9.85546875" style="7" customWidth="1"/>
    <col min="10768" max="11008" width="9.140625" style="7"/>
    <col min="11009" max="11009" width="6" style="7" customWidth="1"/>
    <col min="11010" max="11010" width="45" style="7" customWidth="1"/>
    <col min="11011" max="11011" width="7.7109375" style="7" customWidth="1"/>
    <col min="11012" max="11012" width="8.28515625" style="7" customWidth="1"/>
    <col min="11013" max="11013" width="8.85546875" style="7" customWidth="1"/>
    <col min="11014" max="11014" width="8.5703125" style="7" customWidth="1"/>
    <col min="11015" max="11015" width="7.7109375" style="7" customWidth="1"/>
    <col min="11016" max="11016" width="8.140625" style="7" customWidth="1"/>
    <col min="11017" max="11017" width="9" style="7" customWidth="1"/>
    <col min="11018" max="11018" width="9.5703125" style="7" customWidth="1"/>
    <col min="11019" max="11019" width="8.85546875" style="7" customWidth="1"/>
    <col min="11020" max="11020" width="9.28515625" style="7" customWidth="1"/>
    <col min="11021" max="11021" width="7.7109375" style="7" customWidth="1"/>
    <col min="11022" max="11022" width="8.42578125" style="7" customWidth="1"/>
    <col min="11023" max="11023" width="9.85546875" style="7" customWidth="1"/>
    <col min="11024" max="11264" width="9.140625" style="7"/>
    <col min="11265" max="11265" width="6" style="7" customWidth="1"/>
    <col min="11266" max="11266" width="45" style="7" customWidth="1"/>
    <col min="11267" max="11267" width="7.7109375" style="7" customWidth="1"/>
    <col min="11268" max="11268" width="8.28515625" style="7" customWidth="1"/>
    <col min="11269" max="11269" width="8.85546875" style="7" customWidth="1"/>
    <col min="11270" max="11270" width="8.5703125" style="7" customWidth="1"/>
    <col min="11271" max="11271" width="7.7109375" style="7" customWidth="1"/>
    <col min="11272" max="11272" width="8.140625" style="7" customWidth="1"/>
    <col min="11273" max="11273" width="9" style="7" customWidth="1"/>
    <col min="11274" max="11274" width="9.5703125" style="7" customWidth="1"/>
    <col min="11275" max="11275" width="8.85546875" style="7" customWidth="1"/>
    <col min="11276" max="11276" width="9.28515625" style="7" customWidth="1"/>
    <col min="11277" max="11277" width="7.7109375" style="7" customWidth="1"/>
    <col min="11278" max="11278" width="8.42578125" style="7" customWidth="1"/>
    <col min="11279" max="11279" width="9.85546875" style="7" customWidth="1"/>
    <col min="11280" max="11520" width="9.140625" style="7"/>
    <col min="11521" max="11521" width="6" style="7" customWidth="1"/>
    <col min="11522" max="11522" width="45" style="7" customWidth="1"/>
    <col min="11523" max="11523" width="7.7109375" style="7" customWidth="1"/>
    <col min="11524" max="11524" width="8.28515625" style="7" customWidth="1"/>
    <col min="11525" max="11525" width="8.85546875" style="7" customWidth="1"/>
    <col min="11526" max="11526" width="8.5703125" style="7" customWidth="1"/>
    <col min="11527" max="11527" width="7.7109375" style="7" customWidth="1"/>
    <col min="11528" max="11528" width="8.140625" style="7" customWidth="1"/>
    <col min="11529" max="11529" width="9" style="7" customWidth="1"/>
    <col min="11530" max="11530" width="9.5703125" style="7" customWidth="1"/>
    <col min="11531" max="11531" width="8.85546875" style="7" customWidth="1"/>
    <col min="11532" max="11532" width="9.28515625" style="7" customWidth="1"/>
    <col min="11533" max="11533" width="7.7109375" style="7" customWidth="1"/>
    <col min="11534" max="11534" width="8.42578125" style="7" customWidth="1"/>
    <col min="11535" max="11535" width="9.85546875" style="7" customWidth="1"/>
    <col min="11536" max="11776" width="9.140625" style="7"/>
    <col min="11777" max="11777" width="6" style="7" customWidth="1"/>
    <col min="11778" max="11778" width="45" style="7" customWidth="1"/>
    <col min="11779" max="11779" width="7.7109375" style="7" customWidth="1"/>
    <col min="11780" max="11780" width="8.28515625" style="7" customWidth="1"/>
    <col min="11781" max="11781" width="8.85546875" style="7" customWidth="1"/>
    <col min="11782" max="11782" width="8.5703125" style="7" customWidth="1"/>
    <col min="11783" max="11783" width="7.7109375" style="7" customWidth="1"/>
    <col min="11784" max="11784" width="8.140625" style="7" customWidth="1"/>
    <col min="11785" max="11785" width="9" style="7" customWidth="1"/>
    <col min="11786" max="11786" width="9.5703125" style="7" customWidth="1"/>
    <col min="11787" max="11787" width="8.85546875" style="7" customWidth="1"/>
    <col min="11788" max="11788" width="9.28515625" style="7" customWidth="1"/>
    <col min="11789" max="11789" width="7.7109375" style="7" customWidth="1"/>
    <col min="11790" max="11790" width="8.42578125" style="7" customWidth="1"/>
    <col min="11791" max="11791" width="9.85546875" style="7" customWidth="1"/>
    <col min="11792" max="12032" width="9.140625" style="7"/>
    <col min="12033" max="12033" width="6" style="7" customWidth="1"/>
    <col min="12034" max="12034" width="45" style="7" customWidth="1"/>
    <col min="12035" max="12035" width="7.7109375" style="7" customWidth="1"/>
    <col min="12036" max="12036" width="8.28515625" style="7" customWidth="1"/>
    <col min="12037" max="12037" width="8.85546875" style="7" customWidth="1"/>
    <col min="12038" max="12038" width="8.5703125" style="7" customWidth="1"/>
    <col min="12039" max="12039" width="7.7109375" style="7" customWidth="1"/>
    <col min="12040" max="12040" width="8.140625" style="7" customWidth="1"/>
    <col min="12041" max="12041" width="9" style="7" customWidth="1"/>
    <col min="12042" max="12042" width="9.5703125" style="7" customWidth="1"/>
    <col min="12043" max="12043" width="8.85546875" style="7" customWidth="1"/>
    <col min="12044" max="12044" width="9.28515625" style="7" customWidth="1"/>
    <col min="12045" max="12045" width="7.7109375" style="7" customWidth="1"/>
    <col min="12046" max="12046" width="8.42578125" style="7" customWidth="1"/>
    <col min="12047" max="12047" width="9.85546875" style="7" customWidth="1"/>
    <col min="12048" max="12288" width="9.140625" style="7"/>
    <col min="12289" max="12289" width="6" style="7" customWidth="1"/>
    <col min="12290" max="12290" width="45" style="7" customWidth="1"/>
    <col min="12291" max="12291" width="7.7109375" style="7" customWidth="1"/>
    <col min="12292" max="12292" width="8.28515625" style="7" customWidth="1"/>
    <col min="12293" max="12293" width="8.85546875" style="7" customWidth="1"/>
    <col min="12294" max="12294" width="8.5703125" style="7" customWidth="1"/>
    <col min="12295" max="12295" width="7.7109375" style="7" customWidth="1"/>
    <col min="12296" max="12296" width="8.140625" style="7" customWidth="1"/>
    <col min="12297" max="12297" width="9" style="7" customWidth="1"/>
    <col min="12298" max="12298" width="9.5703125" style="7" customWidth="1"/>
    <col min="12299" max="12299" width="8.85546875" style="7" customWidth="1"/>
    <col min="12300" max="12300" width="9.28515625" style="7" customWidth="1"/>
    <col min="12301" max="12301" width="7.7109375" style="7" customWidth="1"/>
    <col min="12302" max="12302" width="8.42578125" style="7" customWidth="1"/>
    <col min="12303" max="12303" width="9.85546875" style="7" customWidth="1"/>
    <col min="12304" max="12544" width="9.140625" style="7"/>
    <col min="12545" max="12545" width="6" style="7" customWidth="1"/>
    <col min="12546" max="12546" width="45" style="7" customWidth="1"/>
    <col min="12547" max="12547" width="7.7109375" style="7" customWidth="1"/>
    <col min="12548" max="12548" width="8.28515625" style="7" customWidth="1"/>
    <col min="12549" max="12549" width="8.85546875" style="7" customWidth="1"/>
    <col min="12550" max="12550" width="8.5703125" style="7" customWidth="1"/>
    <col min="12551" max="12551" width="7.7109375" style="7" customWidth="1"/>
    <col min="12552" max="12552" width="8.140625" style="7" customWidth="1"/>
    <col min="12553" max="12553" width="9" style="7" customWidth="1"/>
    <col min="12554" max="12554" width="9.5703125" style="7" customWidth="1"/>
    <col min="12555" max="12555" width="8.85546875" style="7" customWidth="1"/>
    <col min="12556" max="12556" width="9.28515625" style="7" customWidth="1"/>
    <col min="12557" max="12557" width="7.7109375" style="7" customWidth="1"/>
    <col min="12558" max="12558" width="8.42578125" style="7" customWidth="1"/>
    <col min="12559" max="12559" width="9.85546875" style="7" customWidth="1"/>
    <col min="12560" max="12800" width="9.140625" style="7"/>
    <col min="12801" max="12801" width="6" style="7" customWidth="1"/>
    <col min="12802" max="12802" width="45" style="7" customWidth="1"/>
    <col min="12803" max="12803" width="7.7109375" style="7" customWidth="1"/>
    <col min="12804" max="12804" width="8.28515625" style="7" customWidth="1"/>
    <col min="12805" max="12805" width="8.85546875" style="7" customWidth="1"/>
    <col min="12806" max="12806" width="8.5703125" style="7" customWidth="1"/>
    <col min="12807" max="12807" width="7.7109375" style="7" customWidth="1"/>
    <col min="12808" max="12808" width="8.140625" style="7" customWidth="1"/>
    <col min="12809" max="12809" width="9" style="7" customWidth="1"/>
    <col min="12810" max="12810" width="9.5703125" style="7" customWidth="1"/>
    <col min="12811" max="12811" width="8.85546875" style="7" customWidth="1"/>
    <col min="12812" max="12812" width="9.28515625" style="7" customWidth="1"/>
    <col min="12813" max="12813" width="7.7109375" style="7" customWidth="1"/>
    <col min="12814" max="12814" width="8.42578125" style="7" customWidth="1"/>
    <col min="12815" max="12815" width="9.85546875" style="7" customWidth="1"/>
    <col min="12816" max="13056" width="9.140625" style="7"/>
    <col min="13057" max="13057" width="6" style="7" customWidth="1"/>
    <col min="13058" max="13058" width="45" style="7" customWidth="1"/>
    <col min="13059" max="13059" width="7.7109375" style="7" customWidth="1"/>
    <col min="13060" max="13060" width="8.28515625" style="7" customWidth="1"/>
    <col min="13061" max="13061" width="8.85546875" style="7" customWidth="1"/>
    <col min="13062" max="13062" width="8.5703125" style="7" customWidth="1"/>
    <col min="13063" max="13063" width="7.7109375" style="7" customWidth="1"/>
    <col min="13064" max="13064" width="8.140625" style="7" customWidth="1"/>
    <col min="13065" max="13065" width="9" style="7" customWidth="1"/>
    <col min="13066" max="13066" width="9.5703125" style="7" customWidth="1"/>
    <col min="13067" max="13067" width="8.85546875" style="7" customWidth="1"/>
    <col min="13068" max="13068" width="9.28515625" style="7" customWidth="1"/>
    <col min="13069" max="13069" width="7.7109375" style="7" customWidth="1"/>
    <col min="13070" max="13070" width="8.42578125" style="7" customWidth="1"/>
    <col min="13071" max="13071" width="9.85546875" style="7" customWidth="1"/>
    <col min="13072" max="13312" width="9.140625" style="7"/>
    <col min="13313" max="13313" width="6" style="7" customWidth="1"/>
    <col min="13314" max="13314" width="45" style="7" customWidth="1"/>
    <col min="13315" max="13315" width="7.7109375" style="7" customWidth="1"/>
    <col min="13316" max="13316" width="8.28515625" style="7" customWidth="1"/>
    <col min="13317" max="13317" width="8.85546875" style="7" customWidth="1"/>
    <col min="13318" max="13318" width="8.5703125" style="7" customWidth="1"/>
    <col min="13319" max="13319" width="7.7109375" style="7" customWidth="1"/>
    <col min="13320" max="13320" width="8.140625" style="7" customWidth="1"/>
    <col min="13321" max="13321" width="9" style="7" customWidth="1"/>
    <col min="13322" max="13322" width="9.5703125" style="7" customWidth="1"/>
    <col min="13323" max="13323" width="8.85546875" style="7" customWidth="1"/>
    <col min="13324" max="13324" width="9.28515625" style="7" customWidth="1"/>
    <col min="13325" max="13325" width="7.7109375" style="7" customWidth="1"/>
    <col min="13326" max="13326" width="8.42578125" style="7" customWidth="1"/>
    <col min="13327" max="13327" width="9.85546875" style="7" customWidth="1"/>
    <col min="13328" max="13568" width="9.140625" style="7"/>
    <col min="13569" max="13569" width="6" style="7" customWidth="1"/>
    <col min="13570" max="13570" width="45" style="7" customWidth="1"/>
    <col min="13571" max="13571" width="7.7109375" style="7" customWidth="1"/>
    <col min="13572" max="13572" width="8.28515625" style="7" customWidth="1"/>
    <col min="13573" max="13573" width="8.85546875" style="7" customWidth="1"/>
    <col min="13574" max="13574" width="8.5703125" style="7" customWidth="1"/>
    <col min="13575" max="13575" width="7.7109375" style="7" customWidth="1"/>
    <col min="13576" max="13576" width="8.140625" style="7" customWidth="1"/>
    <col min="13577" max="13577" width="9" style="7" customWidth="1"/>
    <col min="13578" max="13578" width="9.5703125" style="7" customWidth="1"/>
    <col min="13579" max="13579" width="8.85546875" style="7" customWidth="1"/>
    <col min="13580" max="13580" width="9.28515625" style="7" customWidth="1"/>
    <col min="13581" max="13581" width="7.7109375" style="7" customWidth="1"/>
    <col min="13582" max="13582" width="8.42578125" style="7" customWidth="1"/>
    <col min="13583" max="13583" width="9.85546875" style="7" customWidth="1"/>
    <col min="13584" max="13824" width="9.140625" style="7"/>
    <col min="13825" max="13825" width="6" style="7" customWidth="1"/>
    <col min="13826" max="13826" width="45" style="7" customWidth="1"/>
    <col min="13827" max="13827" width="7.7109375" style="7" customWidth="1"/>
    <col min="13828" max="13828" width="8.28515625" style="7" customWidth="1"/>
    <col min="13829" max="13829" width="8.85546875" style="7" customWidth="1"/>
    <col min="13830" max="13830" width="8.5703125" style="7" customWidth="1"/>
    <col min="13831" max="13831" width="7.7109375" style="7" customWidth="1"/>
    <col min="13832" max="13832" width="8.140625" style="7" customWidth="1"/>
    <col min="13833" max="13833" width="9" style="7" customWidth="1"/>
    <col min="13834" max="13834" width="9.5703125" style="7" customWidth="1"/>
    <col min="13835" max="13835" width="8.85546875" style="7" customWidth="1"/>
    <col min="13836" max="13836" width="9.28515625" style="7" customWidth="1"/>
    <col min="13837" max="13837" width="7.7109375" style="7" customWidth="1"/>
    <col min="13838" max="13838" width="8.42578125" style="7" customWidth="1"/>
    <col min="13839" max="13839" width="9.85546875" style="7" customWidth="1"/>
    <col min="13840" max="14080" width="9.140625" style="7"/>
    <col min="14081" max="14081" width="6" style="7" customWidth="1"/>
    <col min="14082" max="14082" width="45" style="7" customWidth="1"/>
    <col min="14083" max="14083" width="7.7109375" style="7" customWidth="1"/>
    <col min="14084" max="14084" width="8.28515625" style="7" customWidth="1"/>
    <col min="14085" max="14085" width="8.85546875" style="7" customWidth="1"/>
    <col min="14086" max="14086" width="8.5703125" style="7" customWidth="1"/>
    <col min="14087" max="14087" width="7.7109375" style="7" customWidth="1"/>
    <col min="14088" max="14088" width="8.140625" style="7" customWidth="1"/>
    <col min="14089" max="14089" width="9" style="7" customWidth="1"/>
    <col min="14090" max="14090" width="9.5703125" style="7" customWidth="1"/>
    <col min="14091" max="14091" width="8.85546875" style="7" customWidth="1"/>
    <col min="14092" max="14092" width="9.28515625" style="7" customWidth="1"/>
    <col min="14093" max="14093" width="7.7109375" style="7" customWidth="1"/>
    <col min="14094" max="14094" width="8.42578125" style="7" customWidth="1"/>
    <col min="14095" max="14095" width="9.85546875" style="7" customWidth="1"/>
    <col min="14096" max="14336" width="9.140625" style="7"/>
    <col min="14337" max="14337" width="6" style="7" customWidth="1"/>
    <col min="14338" max="14338" width="45" style="7" customWidth="1"/>
    <col min="14339" max="14339" width="7.7109375" style="7" customWidth="1"/>
    <col min="14340" max="14340" width="8.28515625" style="7" customWidth="1"/>
    <col min="14341" max="14341" width="8.85546875" style="7" customWidth="1"/>
    <col min="14342" max="14342" width="8.5703125" style="7" customWidth="1"/>
    <col min="14343" max="14343" width="7.7109375" style="7" customWidth="1"/>
    <col min="14344" max="14344" width="8.140625" style="7" customWidth="1"/>
    <col min="14345" max="14345" width="9" style="7" customWidth="1"/>
    <col min="14346" max="14346" width="9.5703125" style="7" customWidth="1"/>
    <col min="14347" max="14347" width="8.85546875" style="7" customWidth="1"/>
    <col min="14348" max="14348" width="9.28515625" style="7" customWidth="1"/>
    <col min="14349" max="14349" width="7.7109375" style="7" customWidth="1"/>
    <col min="14350" max="14350" width="8.42578125" style="7" customWidth="1"/>
    <col min="14351" max="14351" width="9.85546875" style="7" customWidth="1"/>
    <col min="14352" max="14592" width="9.140625" style="7"/>
    <col min="14593" max="14593" width="6" style="7" customWidth="1"/>
    <col min="14594" max="14594" width="45" style="7" customWidth="1"/>
    <col min="14595" max="14595" width="7.7109375" style="7" customWidth="1"/>
    <col min="14596" max="14596" width="8.28515625" style="7" customWidth="1"/>
    <col min="14597" max="14597" width="8.85546875" style="7" customWidth="1"/>
    <col min="14598" max="14598" width="8.5703125" style="7" customWidth="1"/>
    <col min="14599" max="14599" width="7.7109375" style="7" customWidth="1"/>
    <col min="14600" max="14600" width="8.140625" style="7" customWidth="1"/>
    <col min="14601" max="14601" width="9" style="7" customWidth="1"/>
    <col min="14602" max="14602" width="9.5703125" style="7" customWidth="1"/>
    <col min="14603" max="14603" width="8.85546875" style="7" customWidth="1"/>
    <col min="14604" max="14604" width="9.28515625" style="7" customWidth="1"/>
    <col min="14605" max="14605" width="7.7109375" style="7" customWidth="1"/>
    <col min="14606" max="14606" width="8.42578125" style="7" customWidth="1"/>
    <col min="14607" max="14607" width="9.85546875" style="7" customWidth="1"/>
    <col min="14608" max="14848" width="9.140625" style="7"/>
    <col min="14849" max="14849" width="6" style="7" customWidth="1"/>
    <col min="14850" max="14850" width="45" style="7" customWidth="1"/>
    <col min="14851" max="14851" width="7.7109375" style="7" customWidth="1"/>
    <col min="14852" max="14852" width="8.28515625" style="7" customWidth="1"/>
    <col min="14853" max="14853" width="8.85546875" style="7" customWidth="1"/>
    <col min="14854" max="14854" width="8.5703125" style="7" customWidth="1"/>
    <col min="14855" max="14855" width="7.7109375" style="7" customWidth="1"/>
    <col min="14856" max="14856" width="8.140625" style="7" customWidth="1"/>
    <col min="14857" max="14857" width="9" style="7" customWidth="1"/>
    <col min="14858" max="14858" width="9.5703125" style="7" customWidth="1"/>
    <col min="14859" max="14859" width="8.85546875" style="7" customWidth="1"/>
    <col min="14860" max="14860" width="9.28515625" style="7" customWidth="1"/>
    <col min="14861" max="14861" width="7.7109375" style="7" customWidth="1"/>
    <col min="14862" max="14862" width="8.42578125" style="7" customWidth="1"/>
    <col min="14863" max="14863" width="9.85546875" style="7" customWidth="1"/>
    <col min="14864" max="15104" width="9.140625" style="7"/>
    <col min="15105" max="15105" width="6" style="7" customWidth="1"/>
    <col min="15106" max="15106" width="45" style="7" customWidth="1"/>
    <col min="15107" max="15107" width="7.7109375" style="7" customWidth="1"/>
    <col min="15108" max="15108" width="8.28515625" style="7" customWidth="1"/>
    <col min="15109" max="15109" width="8.85546875" style="7" customWidth="1"/>
    <col min="15110" max="15110" width="8.5703125" style="7" customWidth="1"/>
    <col min="15111" max="15111" width="7.7109375" style="7" customWidth="1"/>
    <col min="15112" max="15112" width="8.140625" style="7" customWidth="1"/>
    <col min="15113" max="15113" width="9" style="7" customWidth="1"/>
    <col min="15114" max="15114" width="9.5703125" style="7" customWidth="1"/>
    <col min="15115" max="15115" width="8.85546875" style="7" customWidth="1"/>
    <col min="15116" max="15116" width="9.28515625" style="7" customWidth="1"/>
    <col min="15117" max="15117" width="7.7109375" style="7" customWidth="1"/>
    <col min="15118" max="15118" width="8.42578125" style="7" customWidth="1"/>
    <col min="15119" max="15119" width="9.85546875" style="7" customWidth="1"/>
    <col min="15120" max="15360" width="9.140625" style="7"/>
    <col min="15361" max="15361" width="6" style="7" customWidth="1"/>
    <col min="15362" max="15362" width="45" style="7" customWidth="1"/>
    <col min="15363" max="15363" width="7.7109375" style="7" customWidth="1"/>
    <col min="15364" max="15364" width="8.28515625" style="7" customWidth="1"/>
    <col min="15365" max="15365" width="8.85546875" style="7" customWidth="1"/>
    <col min="15366" max="15366" width="8.5703125" style="7" customWidth="1"/>
    <col min="15367" max="15367" width="7.7109375" style="7" customWidth="1"/>
    <col min="15368" max="15368" width="8.140625" style="7" customWidth="1"/>
    <col min="15369" max="15369" width="9" style="7" customWidth="1"/>
    <col min="15370" max="15370" width="9.5703125" style="7" customWidth="1"/>
    <col min="15371" max="15371" width="8.85546875" style="7" customWidth="1"/>
    <col min="15372" max="15372" width="9.28515625" style="7" customWidth="1"/>
    <col min="15373" max="15373" width="7.7109375" style="7" customWidth="1"/>
    <col min="15374" max="15374" width="8.42578125" style="7" customWidth="1"/>
    <col min="15375" max="15375" width="9.85546875" style="7" customWidth="1"/>
    <col min="15376" max="15616" width="9.140625" style="7"/>
    <col min="15617" max="15617" width="6" style="7" customWidth="1"/>
    <col min="15618" max="15618" width="45" style="7" customWidth="1"/>
    <col min="15619" max="15619" width="7.7109375" style="7" customWidth="1"/>
    <col min="15620" max="15620" width="8.28515625" style="7" customWidth="1"/>
    <col min="15621" max="15621" width="8.85546875" style="7" customWidth="1"/>
    <col min="15622" max="15622" width="8.5703125" style="7" customWidth="1"/>
    <col min="15623" max="15623" width="7.7109375" style="7" customWidth="1"/>
    <col min="15624" max="15624" width="8.140625" style="7" customWidth="1"/>
    <col min="15625" max="15625" width="9" style="7" customWidth="1"/>
    <col min="15626" max="15626" width="9.5703125" style="7" customWidth="1"/>
    <col min="15627" max="15627" width="8.85546875" style="7" customWidth="1"/>
    <col min="15628" max="15628" width="9.28515625" style="7" customWidth="1"/>
    <col min="15629" max="15629" width="7.7109375" style="7" customWidth="1"/>
    <col min="15630" max="15630" width="8.42578125" style="7" customWidth="1"/>
    <col min="15631" max="15631" width="9.85546875" style="7" customWidth="1"/>
    <col min="15632" max="15872" width="9.140625" style="7"/>
    <col min="15873" max="15873" width="6" style="7" customWidth="1"/>
    <col min="15874" max="15874" width="45" style="7" customWidth="1"/>
    <col min="15875" max="15875" width="7.7109375" style="7" customWidth="1"/>
    <col min="15876" max="15876" width="8.28515625" style="7" customWidth="1"/>
    <col min="15877" max="15877" width="8.85546875" style="7" customWidth="1"/>
    <col min="15878" max="15878" width="8.5703125" style="7" customWidth="1"/>
    <col min="15879" max="15879" width="7.7109375" style="7" customWidth="1"/>
    <col min="15880" max="15880" width="8.140625" style="7" customWidth="1"/>
    <col min="15881" max="15881" width="9" style="7" customWidth="1"/>
    <col min="15882" max="15882" width="9.5703125" style="7" customWidth="1"/>
    <col min="15883" max="15883" width="8.85546875" style="7" customWidth="1"/>
    <col min="15884" max="15884" width="9.28515625" style="7" customWidth="1"/>
    <col min="15885" max="15885" width="7.7109375" style="7" customWidth="1"/>
    <col min="15886" max="15886" width="8.42578125" style="7" customWidth="1"/>
    <col min="15887" max="15887" width="9.85546875" style="7" customWidth="1"/>
    <col min="15888" max="16128" width="9.140625" style="7"/>
    <col min="16129" max="16129" width="6" style="7" customWidth="1"/>
    <col min="16130" max="16130" width="45" style="7" customWidth="1"/>
    <col min="16131" max="16131" width="7.7109375" style="7" customWidth="1"/>
    <col min="16132" max="16132" width="8.28515625" style="7" customWidth="1"/>
    <col min="16133" max="16133" width="8.85546875" style="7" customWidth="1"/>
    <col min="16134" max="16134" width="8.5703125" style="7" customWidth="1"/>
    <col min="16135" max="16135" width="7.7109375" style="7" customWidth="1"/>
    <col min="16136" max="16136" width="8.140625" style="7" customWidth="1"/>
    <col min="16137" max="16137" width="9" style="7" customWidth="1"/>
    <col min="16138" max="16138" width="9.5703125" style="7" customWidth="1"/>
    <col min="16139" max="16139" width="8.85546875" style="7" customWidth="1"/>
    <col min="16140" max="16140" width="9.28515625" style="7" customWidth="1"/>
    <col min="16141" max="16141" width="7.7109375" style="7" customWidth="1"/>
    <col min="16142" max="16142" width="8.42578125" style="7" customWidth="1"/>
    <col min="16143" max="16143" width="9.85546875" style="7" customWidth="1"/>
    <col min="16144" max="16384" width="9.140625" style="7"/>
  </cols>
  <sheetData>
    <row r="1" spans="1:35" s="2" customFormat="1" ht="27.75" customHeight="1" x14ac:dyDescent="0.3">
      <c r="A1" s="255" t="s">
        <v>108</v>
      </c>
      <c r="B1" s="255"/>
      <c r="C1" s="255"/>
      <c r="D1" s="255"/>
      <c r="E1" s="255"/>
      <c r="F1" s="255"/>
      <c r="G1" s="255"/>
      <c r="H1" s="255"/>
      <c r="I1" s="255"/>
      <c r="J1" s="255"/>
      <c r="K1" s="255"/>
      <c r="L1" s="255"/>
      <c r="M1" s="255"/>
      <c r="N1" s="255"/>
      <c r="O1" s="255"/>
      <c r="P1" s="255"/>
    </row>
    <row r="2" spans="1:35" s="2" customFormat="1" ht="21" customHeight="1" x14ac:dyDescent="0.3">
      <c r="A2" s="256" t="s">
        <v>160</v>
      </c>
      <c r="B2" s="256"/>
      <c r="C2" s="256"/>
      <c r="D2" s="256"/>
      <c r="E2" s="256"/>
      <c r="F2" s="256"/>
      <c r="G2" s="256"/>
      <c r="H2" s="256"/>
      <c r="I2" s="256"/>
      <c r="J2" s="256"/>
      <c r="K2" s="256"/>
      <c r="L2" s="256"/>
      <c r="M2" s="256"/>
      <c r="N2" s="256"/>
      <c r="O2" s="256"/>
      <c r="P2" s="256"/>
    </row>
    <row r="3" spans="1:35" s="2" customFormat="1" x14ac:dyDescent="0.25">
      <c r="A3" s="3"/>
      <c r="B3" s="4"/>
      <c r="C3" s="5"/>
      <c r="D3" s="5"/>
      <c r="E3" s="5"/>
      <c r="F3" s="5"/>
      <c r="G3" s="5"/>
      <c r="H3" s="4"/>
      <c r="I3" s="4"/>
      <c r="J3" s="4"/>
      <c r="K3" s="4"/>
      <c r="L3" s="4"/>
      <c r="M3" s="4" t="s">
        <v>109</v>
      </c>
      <c r="N3" s="6"/>
      <c r="O3" s="6"/>
    </row>
    <row r="4" spans="1:35" ht="29.25" customHeight="1" x14ac:dyDescent="0.25">
      <c r="A4" s="249" t="s">
        <v>0</v>
      </c>
      <c r="B4" s="249" t="s">
        <v>1</v>
      </c>
      <c r="C4" s="257" t="s">
        <v>110</v>
      </c>
      <c r="D4" s="259" t="s">
        <v>111</v>
      </c>
      <c r="E4" s="261" t="s">
        <v>112</v>
      </c>
      <c r="F4" s="262"/>
      <c r="G4" s="263" t="s">
        <v>113</v>
      </c>
      <c r="H4" s="264"/>
      <c r="I4" s="263" t="s">
        <v>114</v>
      </c>
      <c r="J4" s="264"/>
      <c r="K4" s="263" t="s">
        <v>115</v>
      </c>
      <c r="L4" s="264"/>
      <c r="M4" s="244" t="s">
        <v>116</v>
      </c>
      <c r="N4" s="244"/>
      <c r="O4" s="265" t="s">
        <v>117</v>
      </c>
      <c r="P4" s="257" t="s">
        <v>118</v>
      </c>
    </row>
    <row r="5" spans="1:35" ht="93.75" customHeight="1" x14ac:dyDescent="0.25">
      <c r="A5" s="249"/>
      <c r="B5" s="249"/>
      <c r="C5" s="258"/>
      <c r="D5" s="260"/>
      <c r="E5" s="8" t="s">
        <v>119</v>
      </c>
      <c r="F5" s="9" t="s">
        <v>120</v>
      </c>
      <c r="G5" s="8" t="s">
        <v>119</v>
      </c>
      <c r="H5" s="9" t="s">
        <v>120</v>
      </c>
      <c r="I5" s="8" t="s">
        <v>119</v>
      </c>
      <c r="J5" s="9" t="s">
        <v>120</v>
      </c>
      <c r="K5" s="8" t="s">
        <v>119</v>
      </c>
      <c r="L5" s="9" t="s">
        <v>120</v>
      </c>
      <c r="M5" s="8" t="s">
        <v>119</v>
      </c>
      <c r="N5" s="9" t="s">
        <v>120</v>
      </c>
      <c r="O5" s="266"/>
      <c r="P5" s="258"/>
    </row>
    <row r="6" spans="1:35" ht="26.25" customHeight="1" x14ac:dyDescent="0.25">
      <c r="A6" s="10" t="s">
        <v>4</v>
      </c>
      <c r="B6" s="10" t="s">
        <v>5</v>
      </c>
      <c r="C6" s="10">
        <v>1</v>
      </c>
      <c r="D6" s="11">
        <v>2</v>
      </c>
      <c r="E6" s="11">
        <v>3</v>
      </c>
      <c r="F6" s="11">
        <v>4</v>
      </c>
      <c r="G6" s="11">
        <v>5</v>
      </c>
      <c r="H6" s="11">
        <v>6</v>
      </c>
      <c r="I6" s="11">
        <v>7</v>
      </c>
      <c r="J6" s="11">
        <v>8</v>
      </c>
      <c r="K6" s="11">
        <v>9</v>
      </c>
      <c r="L6" s="11">
        <v>10</v>
      </c>
      <c r="M6" s="11">
        <v>11</v>
      </c>
      <c r="N6" s="11">
        <v>12</v>
      </c>
      <c r="O6" s="12" t="s">
        <v>121</v>
      </c>
      <c r="P6" s="13">
        <v>14</v>
      </c>
    </row>
    <row r="7" spans="1:35" s="22" customFormat="1" ht="26.25" customHeight="1" x14ac:dyDescent="0.25">
      <c r="A7" s="14" t="s">
        <v>4</v>
      </c>
      <c r="B7" s="15" t="s">
        <v>122</v>
      </c>
      <c r="C7" s="16">
        <v>0.1194013241596327</v>
      </c>
      <c r="D7" s="17">
        <f>D8+D19</f>
        <v>3505</v>
      </c>
      <c r="E7" s="17">
        <f>E8+E19</f>
        <v>2958.9</v>
      </c>
      <c r="F7" s="18"/>
      <c r="G7" s="17">
        <f>G8+G19</f>
        <v>3229.123</v>
      </c>
      <c r="H7" s="19">
        <f t="shared" ref="H7:H31" si="0">(G7-E7)/E7</f>
        <v>9.1325492581702639E-2</v>
      </c>
      <c r="I7" s="17">
        <f>I8+I19</f>
        <v>3665.76161</v>
      </c>
      <c r="J7" s="19">
        <f t="shared" ref="J7:J31" si="1">(I7-G7)/G7</f>
        <v>0.1352189464445919</v>
      </c>
      <c r="K7" s="17">
        <f>K8+K19</f>
        <v>4127.9149226999998</v>
      </c>
      <c r="L7" s="19">
        <f t="shared" ref="L7:L31" si="2">(K7-I7)/I7</f>
        <v>0.12607293159469793</v>
      </c>
      <c r="M7" s="17">
        <f>M8+M19</f>
        <v>4999.6889672890002</v>
      </c>
      <c r="N7" s="19">
        <f t="shared" ref="N7:N31" si="3">(M7-K7)/K7</f>
        <v>0.21118992540156026</v>
      </c>
      <c r="O7" s="20">
        <f>E7+G7+I7+K7+M7</f>
        <v>18981.388499989</v>
      </c>
      <c r="P7" s="21">
        <f>(F7+H7+J7+L7+N7)/4</f>
        <v>0.14095182400563819</v>
      </c>
      <c r="Q7" s="92">
        <f>5000-M7</f>
        <v>0.31103271099982521</v>
      </c>
    </row>
    <row r="8" spans="1:35" s="22" customFormat="1" ht="21.75" customHeight="1" x14ac:dyDescent="0.25">
      <c r="A8" s="23" t="s">
        <v>50</v>
      </c>
      <c r="B8" s="24" t="s">
        <v>36</v>
      </c>
      <c r="C8" s="19">
        <v>0.14014110915345251</v>
      </c>
      <c r="D8" s="25">
        <f>D11+D13+D14+D15+D16+D17+D18</f>
        <v>3235</v>
      </c>
      <c r="E8" s="25">
        <f t="shared" ref="E8:O8" si="4">E11+E13+E14+E15+E16+E17+E18</f>
        <v>2670</v>
      </c>
      <c r="F8" s="18"/>
      <c r="G8" s="25">
        <f t="shared" si="4"/>
        <v>2920</v>
      </c>
      <c r="H8" s="19">
        <f t="shared" si="0"/>
        <v>9.3632958801498134E-2</v>
      </c>
      <c r="I8" s="25">
        <f t="shared" si="4"/>
        <v>3335</v>
      </c>
      <c r="J8" s="19">
        <f t="shared" si="1"/>
        <v>0.14212328767123289</v>
      </c>
      <c r="K8" s="25">
        <f t="shared" si="4"/>
        <v>3774</v>
      </c>
      <c r="L8" s="19">
        <f t="shared" si="2"/>
        <v>0.13163418290854573</v>
      </c>
      <c r="M8" s="25">
        <f t="shared" si="4"/>
        <v>4621</v>
      </c>
      <c r="N8" s="19">
        <f t="shared" si="3"/>
        <v>0.22443031266560678</v>
      </c>
      <c r="O8" s="25">
        <f t="shared" si="4"/>
        <v>17320</v>
      </c>
      <c r="P8" s="21">
        <f>(F8+H8+J8+L8+N8)/4</f>
        <v>0.14795518551172088</v>
      </c>
      <c r="Q8" s="250"/>
      <c r="R8" s="251"/>
      <c r="S8" s="251"/>
      <c r="T8" s="251"/>
      <c r="U8" s="251"/>
      <c r="V8" s="26"/>
      <c r="W8" s="27"/>
      <c r="X8" s="27"/>
      <c r="Y8" s="27"/>
      <c r="Z8" s="27"/>
      <c r="AA8" s="27"/>
      <c r="AB8" s="27"/>
      <c r="AC8" s="27"/>
      <c r="AD8" s="27"/>
      <c r="AE8" s="27"/>
      <c r="AF8" s="27"/>
      <c r="AG8" s="27"/>
      <c r="AH8" s="27"/>
      <c r="AI8" s="27"/>
    </row>
    <row r="9" spans="1:35" s="34" customFormat="1" x14ac:dyDescent="0.25">
      <c r="A9" s="28"/>
      <c r="B9" s="29" t="s">
        <v>123</v>
      </c>
      <c r="C9" s="30">
        <v>6.3E-2</v>
      </c>
      <c r="D9" s="31">
        <f>D8-D17</f>
        <v>2137</v>
      </c>
      <c r="E9" s="31">
        <f>E8-E17</f>
        <v>2270</v>
      </c>
      <c r="F9" s="32">
        <f t="shared" ref="F9:F18" si="5">(E9-D9)/D9</f>
        <v>6.2236780533458116E-2</v>
      </c>
      <c r="G9" s="31">
        <f>G8-G17</f>
        <v>2420</v>
      </c>
      <c r="H9" s="32">
        <f t="shared" si="0"/>
        <v>6.6079295154185022E-2</v>
      </c>
      <c r="I9" s="31">
        <f>I8-I17</f>
        <v>2735</v>
      </c>
      <c r="J9" s="32">
        <f t="shared" si="1"/>
        <v>0.13016528925619836</v>
      </c>
      <c r="K9" s="31">
        <f>K8-K17</f>
        <v>2974</v>
      </c>
      <c r="L9" s="32">
        <f t="shared" si="2"/>
        <v>8.7385740402193782E-2</v>
      </c>
      <c r="M9" s="31">
        <f>M8-M17</f>
        <v>3260</v>
      </c>
      <c r="N9" s="32">
        <f t="shared" si="3"/>
        <v>9.6166778749159382E-2</v>
      </c>
      <c r="O9" s="33">
        <f>E9+G9+I9+K9+M9</f>
        <v>13659</v>
      </c>
      <c r="P9" s="30">
        <f>(F9+H9+J9+L9+N9)/5</f>
        <v>8.8406776819038926E-2</v>
      </c>
      <c r="Q9" s="250"/>
      <c r="R9" s="251"/>
      <c r="S9" s="251"/>
      <c r="T9" s="251"/>
      <c r="U9" s="251"/>
    </row>
    <row r="10" spans="1:35" s="34" customFormat="1" x14ac:dyDescent="0.25">
      <c r="A10" s="28"/>
      <c r="B10" s="35" t="s">
        <v>124</v>
      </c>
      <c r="C10" s="32"/>
      <c r="D10" s="36">
        <f>D8/D7%</f>
        <v>92.296718972895874</v>
      </c>
      <c r="E10" s="36">
        <f>E8/E7%</f>
        <v>90.236236439217265</v>
      </c>
      <c r="F10" s="32"/>
      <c r="G10" s="36">
        <f t="shared" ref="G10:O10" si="6">G8/G7%</f>
        <v>90.427029258408552</v>
      </c>
      <c r="H10" s="32"/>
      <c r="I10" s="36">
        <f t="shared" si="6"/>
        <v>90.977001638685394</v>
      </c>
      <c r="J10" s="32"/>
      <c r="K10" s="36">
        <f t="shared" si="6"/>
        <v>91.426302883478272</v>
      </c>
      <c r="L10" s="32"/>
      <c r="M10" s="36">
        <f t="shared" si="6"/>
        <v>92.425749486285781</v>
      </c>
      <c r="N10" s="36"/>
      <c r="O10" s="36">
        <f t="shared" si="6"/>
        <v>91.247276246466569</v>
      </c>
      <c r="P10" s="30"/>
      <c r="Q10" s="250"/>
      <c r="R10" s="251"/>
      <c r="S10" s="251"/>
      <c r="T10" s="251"/>
      <c r="U10" s="251"/>
    </row>
    <row r="11" spans="1:35" x14ac:dyDescent="0.25">
      <c r="A11" s="37" t="s">
        <v>125</v>
      </c>
      <c r="B11" s="38" t="s">
        <v>126</v>
      </c>
      <c r="C11" s="39">
        <v>5.3286331153086966E-2</v>
      </c>
      <c r="D11" s="40">
        <v>717</v>
      </c>
      <c r="E11" s="40">
        <v>746</v>
      </c>
      <c r="F11" s="41">
        <f t="shared" si="5"/>
        <v>4.0446304044630406E-2</v>
      </c>
      <c r="G11" s="40">
        <v>777</v>
      </c>
      <c r="H11" s="41">
        <f t="shared" si="0"/>
        <v>4.1554959785522788E-2</v>
      </c>
      <c r="I11" s="40">
        <v>830</v>
      </c>
      <c r="J11" s="41">
        <f t="shared" si="1"/>
        <v>6.8211068211068204E-2</v>
      </c>
      <c r="K11" s="40">
        <v>871</v>
      </c>
      <c r="L11" s="41">
        <f t="shared" si="2"/>
        <v>4.9397590361445781E-2</v>
      </c>
      <c r="M11" s="40">
        <v>915</v>
      </c>
      <c r="N11" s="41">
        <f t="shared" si="3"/>
        <v>5.0516647531572902E-2</v>
      </c>
      <c r="O11" s="33">
        <f t="shared" ref="O11:O18" si="7">E11+G11+I11+K11+M11</f>
        <v>4139</v>
      </c>
      <c r="P11" s="42">
        <f>(F11+H11+J11+L11+N11)/5</f>
        <v>5.0025313986848022E-2</v>
      </c>
      <c r="Q11" s="250"/>
      <c r="R11" s="251"/>
      <c r="S11" s="251"/>
      <c r="T11" s="251"/>
      <c r="U11" s="251"/>
    </row>
    <row r="12" spans="1:35" x14ac:dyDescent="0.25">
      <c r="A12" s="43"/>
      <c r="B12" s="44" t="s">
        <v>127</v>
      </c>
      <c r="C12" s="45">
        <v>5.4171037236953615E-2</v>
      </c>
      <c r="D12" s="40">
        <v>586</v>
      </c>
      <c r="E12" s="40">
        <v>607</v>
      </c>
      <c r="F12" s="41">
        <f t="shared" si="5"/>
        <v>3.5836177474402729E-2</v>
      </c>
      <c r="G12" s="40">
        <v>628</v>
      </c>
      <c r="H12" s="41">
        <f t="shared" si="0"/>
        <v>3.459637561779242E-2</v>
      </c>
      <c r="I12" s="40">
        <v>669</v>
      </c>
      <c r="J12" s="41">
        <f t="shared" si="1"/>
        <v>6.5286624203821655E-2</v>
      </c>
      <c r="K12" s="40">
        <v>691</v>
      </c>
      <c r="L12" s="41">
        <f t="shared" si="2"/>
        <v>3.2884902840059793E-2</v>
      </c>
      <c r="M12" s="40">
        <v>720</v>
      </c>
      <c r="N12" s="41">
        <f t="shared" si="3"/>
        <v>4.1968162083936326E-2</v>
      </c>
      <c r="O12" s="33">
        <f t="shared" si="7"/>
        <v>3315</v>
      </c>
      <c r="P12" s="42">
        <f t="shared" ref="P12:P19" si="8">(F12+H12+J12+L12+N12)/5</f>
        <v>4.2114448444002583E-2</v>
      </c>
      <c r="Q12" s="250"/>
      <c r="R12" s="251"/>
      <c r="S12" s="251"/>
      <c r="T12" s="251"/>
      <c r="U12" s="251"/>
    </row>
    <row r="13" spans="1:35" x14ac:dyDescent="0.25">
      <c r="A13" s="37" t="s">
        <v>128</v>
      </c>
      <c r="B13" s="38" t="s">
        <v>129</v>
      </c>
      <c r="C13" s="39">
        <v>0.17689108279432739</v>
      </c>
      <c r="D13" s="40">
        <v>26</v>
      </c>
      <c r="E13" s="40">
        <v>26</v>
      </c>
      <c r="F13" s="41">
        <f t="shared" si="5"/>
        <v>0</v>
      </c>
      <c r="G13" s="40">
        <v>26</v>
      </c>
      <c r="H13" s="41">
        <f t="shared" si="0"/>
        <v>0</v>
      </c>
      <c r="I13" s="40">
        <v>36</v>
      </c>
      <c r="J13" s="41">
        <f t="shared" si="1"/>
        <v>0.38461538461538464</v>
      </c>
      <c r="K13" s="40">
        <v>40</v>
      </c>
      <c r="L13" s="41">
        <f t="shared" si="2"/>
        <v>0.1111111111111111</v>
      </c>
      <c r="M13" s="40">
        <v>46</v>
      </c>
      <c r="N13" s="41">
        <f t="shared" si="3"/>
        <v>0.15</v>
      </c>
      <c r="O13" s="33">
        <f t="shared" si="7"/>
        <v>174</v>
      </c>
      <c r="P13" s="42">
        <f t="shared" si="8"/>
        <v>0.12914529914529915</v>
      </c>
      <c r="Q13" s="250"/>
      <c r="R13" s="251"/>
      <c r="S13" s="251"/>
      <c r="T13" s="251"/>
      <c r="U13" s="251"/>
    </row>
    <row r="14" spans="1:35" ht="15.75" customHeight="1" x14ac:dyDescent="0.25">
      <c r="A14" s="37" t="s">
        <v>130</v>
      </c>
      <c r="B14" s="38" t="s">
        <v>131</v>
      </c>
      <c r="C14" s="39">
        <v>1.0684249084249084</v>
      </c>
      <c r="D14" s="40">
        <v>4</v>
      </c>
      <c r="E14" s="40">
        <v>4</v>
      </c>
      <c r="F14" s="41">
        <f t="shared" si="5"/>
        <v>0</v>
      </c>
      <c r="G14" s="40">
        <v>4</v>
      </c>
      <c r="H14" s="41">
        <f t="shared" si="0"/>
        <v>0</v>
      </c>
      <c r="I14" s="40">
        <v>7</v>
      </c>
      <c r="J14" s="41">
        <f t="shared" si="1"/>
        <v>0.75</v>
      </c>
      <c r="K14" s="40">
        <v>8</v>
      </c>
      <c r="L14" s="41">
        <f t="shared" si="2"/>
        <v>0.14285714285714285</v>
      </c>
      <c r="M14" s="40">
        <v>9</v>
      </c>
      <c r="N14" s="41">
        <f t="shared" si="3"/>
        <v>0.125</v>
      </c>
      <c r="O14" s="33">
        <f t="shared" si="7"/>
        <v>32</v>
      </c>
      <c r="P14" s="42">
        <f>(F14+H14+J14+L14+N14)/5</f>
        <v>0.20357142857142857</v>
      </c>
      <c r="Q14" s="250"/>
      <c r="R14" s="251"/>
      <c r="S14" s="251"/>
      <c r="T14" s="251"/>
      <c r="U14" s="251"/>
    </row>
    <row r="15" spans="1:35" x14ac:dyDescent="0.25">
      <c r="A15" s="37" t="s">
        <v>132</v>
      </c>
      <c r="B15" s="38" t="s">
        <v>133</v>
      </c>
      <c r="C15" s="39">
        <v>4.0963411070981802E-2</v>
      </c>
      <c r="D15" s="40">
        <v>625</v>
      </c>
      <c r="E15" s="40">
        <v>665</v>
      </c>
      <c r="F15" s="41">
        <f t="shared" si="5"/>
        <v>6.4000000000000001E-2</v>
      </c>
      <c r="G15" s="40">
        <v>709</v>
      </c>
      <c r="H15" s="41">
        <f t="shared" si="0"/>
        <v>6.616541353383458E-2</v>
      </c>
      <c r="I15" s="40">
        <f>725+30</f>
        <v>755</v>
      </c>
      <c r="J15" s="41">
        <f t="shared" si="1"/>
        <v>6.488011283497884E-2</v>
      </c>
      <c r="K15" s="40">
        <f>750+30</f>
        <v>780</v>
      </c>
      <c r="L15" s="41">
        <f t="shared" si="2"/>
        <v>3.3112582781456956E-2</v>
      </c>
      <c r="M15" s="40">
        <f>761+222</f>
        <v>983</v>
      </c>
      <c r="N15" s="41">
        <f t="shared" si="3"/>
        <v>0.26025641025641028</v>
      </c>
      <c r="O15" s="33">
        <f t="shared" si="7"/>
        <v>3892</v>
      </c>
      <c r="P15" s="42">
        <f t="shared" si="8"/>
        <v>9.7682903881336131E-2</v>
      </c>
      <c r="Q15" s="250"/>
      <c r="R15" s="251"/>
      <c r="S15" s="251"/>
      <c r="T15" s="251"/>
      <c r="U15" s="251"/>
    </row>
    <row r="16" spans="1:35" ht="15.75" customHeight="1" x14ac:dyDescent="0.25">
      <c r="A16" s="37" t="s">
        <v>134</v>
      </c>
      <c r="B16" s="38" t="s">
        <v>135</v>
      </c>
      <c r="C16" s="39">
        <v>9.0999999999999998E-2</v>
      </c>
      <c r="D16" s="40">
        <v>84</v>
      </c>
      <c r="E16" s="40">
        <v>88</v>
      </c>
      <c r="F16" s="41">
        <f t="shared" si="5"/>
        <v>4.7619047619047616E-2</v>
      </c>
      <c r="G16" s="40">
        <v>90</v>
      </c>
      <c r="H16" s="41">
        <f t="shared" si="0"/>
        <v>2.2727272727272728E-2</v>
      </c>
      <c r="I16" s="40">
        <v>97</v>
      </c>
      <c r="J16" s="41">
        <f t="shared" si="1"/>
        <v>7.7777777777777779E-2</v>
      </c>
      <c r="K16" s="40">
        <v>102</v>
      </c>
      <c r="L16" s="41">
        <f t="shared" si="2"/>
        <v>5.1546391752577317E-2</v>
      </c>
      <c r="M16" s="40">
        <v>107</v>
      </c>
      <c r="N16" s="41">
        <f t="shared" si="3"/>
        <v>4.9019607843137254E-2</v>
      </c>
      <c r="O16" s="33">
        <f t="shared" si="7"/>
        <v>484</v>
      </c>
      <c r="P16" s="42">
        <f t="shared" si="8"/>
        <v>4.9738019543962543E-2</v>
      </c>
      <c r="Q16" s="250"/>
      <c r="R16" s="251"/>
      <c r="S16" s="251"/>
      <c r="T16" s="251"/>
      <c r="U16" s="251"/>
    </row>
    <row r="17" spans="1:43" ht="15.75" customHeight="1" x14ac:dyDescent="0.25">
      <c r="A17" s="37" t="s">
        <v>136</v>
      </c>
      <c r="B17" s="38" t="s">
        <v>137</v>
      </c>
      <c r="C17" s="39">
        <v>0.755</v>
      </c>
      <c r="D17" s="40">
        <v>1098</v>
      </c>
      <c r="E17" s="40">
        <v>400</v>
      </c>
      <c r="F17" s="41"/>
      <c r="G17" s="40">
        <v>500</v>
      </c>
      <c r="H17" s="41">
        <f>(G17-E17)/E17</f>
        <v>0.25</v>
      </c>
      <c r="I17" s="40">
        <v>600</v>
      </c>
      <c r="J17" s="41">
        <f>(I17-G17)/G17</f>
        <v>0.2</v>
      </c>
      <c r="K17" s="40">
        <v>800</v>
      </c>
      <c r="L17" s="41">
        <f>(K17-I17)/I17</f>
        <v>0.33333333333333331</v>
      </c>
      <c r="M17" s="40">
        <v>1361</v>
      </c>
      <c r="N17" s="41">
        <f>(M17-K17)/K17</f>
        <v>0.70125000000000004</v>
      </c>
      <c r="O17" s="33">
        <f>E17+G17+I17+K17+M17</f>
        <v>3661</v>
      </c>
      <c r="P17" s="42">
        <f>(F17+H17+J17+L17+N17)/4</f>
        <v>0.37114583333333334</v>
      </c>
      <c r="Q17" s="250"/>
      <c r="R17" s="251"/>
      <c r="S17" s="251"/>
      <c r="T17" s="251"/>
      <c r="U17" s="251"/>
    </row>
    <row r="18" spans="1:43" s="34" customFormat="1" x14ac:dyDescent="0.25">
      <c r="A18" s="37" t="s">
        <v>138</v>
      </c>
      <c r="B18" s="46" t="s">
        <v>139</v>
      </c>
      <c r="C18" s="47">
        <v>0.108</v>
      </c>
      <c r="D18" s="31">
        <v>681</v>
      </c>
      <c r="E18" s="31">
        <v>741</v>
      </c>
      <c r="F18" s="41">
        <f t="shared" si="5"/>
        <v>8.8105726872246701E-2</v>
      </c>
      <c r="G18" s="31">
        <v>814</v>
      </c>
      <c r="H18" s="41">
        <f t="shared" si="0"/>
        <v>9.8515519568151147E-2</v>
      </c>
      <c r="I18" s="31">
        <v>1010</v>
      </c>
      <c r="J18" s="41">
        <f t="shared" si="1"/>
        <v>0.24078624078624078</v>
      </c>
      <c r="K18" s="31">
        <v>1173</v>
      </c>
      <c r="L18" s="41">
        <f t="shared" si="2"/>
        <v>0.16138613861386139</v>
      </c>
      <c r="M18" s="31">
        <v>1200</v>
      </c>
      <c r="N18" s="41">
        <f t="shared" si="3"/>
        <v>2.3017902813299233E-2</v>
      </c>
      <c r="O18" s="33">
        <f t="shared" si="7"/>
        <v>4938</v>
      </c>
      <c r="P18" s="42">
        <f t="shared" si="8"/>
        <v>0.12236230573075983</v>
      </c>
      <c r="Q18" s="250"/>
      <c r="R18" s="251"/>
      <c r="S18" s="251"/>
      <c r="T18" s="251"/>
      <c r="U18" s="251"/>
    </row>
    <row r="19" spans="1:43" s="51" customFormat="1" ht="26.25" customHeight="1" x14ac:dyDescent="0.25">
      <c r="A19" s="48" t="s">
        <v>41</v>
      </c>
      <c r="B19" s="49" t="s">
        <v>140</v>
      </c>
      <c r="C19" s="50">
        <v>0.19683734163898597</v>
      </c>
      <c r="D19" s="25">
        <v>270</v>
      </c>
      <c r="E19" s="25">
        <f>D19*1.07</f>
        <v>288.90000000000003</v>
      </c>
      <c r="F19" s="19">
        <f>(E19-D19)/D19</f>
        <v>7.0000000000000132E-2</v>
      </c>
      <c r="G19" s="25">
        <f>E19*1.07</f>
        <v>309.12300000000005</v>
      </c>
      <c r="H19" s="19">
        <f t="shared" si="0"/>
        <v>7.0000000000000034E-2</v>
      </c>
      <c r="I19" s="25">
        <f>G19*1.07</f>
        <v>330.76161000000008</v>
      </c>
      <c r="J19" s="19">
        <f t="shared" si="1"/>
        <v>7.0000000000000076E-2</v>
      </c>
      <c r="K19" s="25">
        <f>I19*1.07</f>
        <v>353.91492270000009</v>
      </c>
      <c r="L19" s="19">
        <f t="shared" si="2"/>
        <v>7.0000000000000034E-2</v>
      </c>
      <c r="M19" s="25">
        <f>K19*1.07</f>
        <v>378.68896728900012</v>
      </c>
      <c r="N19" s="19">
        <f t="shared" si="3"/>
        <v>7.0000000000000062E-2</v>
      </c>
      <c r="O19" s="20">
        <f>E19+G19+I19+K19+M19</f>
        <v>1661.3884999890004</v>
      </c>
      <c r="P19" s="21">
        <f t="shared" si="8"/>
        <v>7.0000000000000062E-2</v>
      </c>
    </row>
    <row r="20" spans="1:43" s="51" customFormat="1" ht="26.25" customHeight="1" x14ac:dyDescent="0.25">
      <c r="A20" s="48" t="s">
        <v>5</v>
      </c>
      <c r="B20" s="49" t="s">
        <v>141</v>
      </c>
      <c r="C20" s="52"/>
      <c r="D20" s="53">
        <f>D21+D22</f>
        <v>8261</v>
      </c>
      <c r="E20" s="53">
        <f t="shared" ref="E20:M20" si="9">E21+E22</f>
        <v>6347.6</v>
      </c>
      <c r="F20" s="53"/>
      <c r="G20" s="53">
        <f t="shared" si="9"/>
        <v>6672.6</v>
      </c>
      <c r="H20" s="53"/>
      <c r="I20" s="53">
        <f t="shared" si="9"/>
        <v>7196.1</v>
      </c>
      <c r="J20" s="53"/>
      <c r="K20" s="53">
        <f t="shared" si="9"/>
        <v>7791.2000000000007</v>
      </c>
      <c r="L20" s="53"/>
      <c r="M20" s="53">
        <f t="shared" si="9"/>
        <v>8803.5</v>
      </c>
      <c r="N20" s="53"/>
      <c r="O20" s="20">
        <f>E20+G20+I20+K20+M20</f>
        <v>36811</v>
      </c>
      <c r="P20" s="21"/>
    </row>
    <row r="21" spans="1:43" s="34" customFormat="1" ht="26.25" customHeight="1" x14ac:dyDescent="0.25">
      <c r="A21" s="54" t="s">
        <v>125</v>
      </c>
      <c r="B21" s="55" t="s">
        <v>51</v>
      </c>
      <c r="C21" s="56"/>
      <c r="D21" s="57">
        <v>2993</v>
      </c>
      <c r="E21" s="57">
        <f>E8*0.9</f>
        <v>2403</v>
      </c>
      <c r="F21" s="57"/>
      <c r="G21" s="57">
        <f t="shared" ref="G21:M21" si="10">G8*0.9</f>
        <v>2628</v>
      </c>
      <c r="H21" s="57"/>
      <c r="I21" s="57">
        <f t="shared" si="10"/>
        <v>3001.5</v>
      </c>
      <c r="J21" s="57"/>
      <c r="K21" s="57">
        <f t="shared" si="10"/>
        <v>3396.6</v>
      </c>
      <c r="L21" s="57"/>
      <c r="M21" s="57">
        <f t="shared" si="10"/>
        <v>4158.9000000000005</v>
      </c>
      <c r="N21" s="57"/>
      <c r="O21" s="33">
        <f>E21+G21+I21+K21+M21</f>
        <v>15588</v>
      </c>
      <c r="P21" s="42"/>
    </row>
    <row r="22" spans="1:43" s="34" customFormat="1" ht="26.25" customHeight="1" x14ac:dyDescent="0.25">
      <c r="A22" s="54" t="s">
        <v>128</v>
      </c>
      <c r="B22" s="55" t="s">
        <v>142</v>
      </c>
      <c r="C22" s="56"/>
      <c r="D22" s="57">
        <f>D23+D25</f>
        <v>5268</v>
      </c>
      <c r="E22" s="57">
        <f>E23+E25</f>
        <v>3944.6000000000004</v>
      </c>
      <c r="F22" s="57"/>
      <c r="G22" s="57">
        <f t="shared" ref="G22:M22" si="11">G23+G25</f>
        <v>4044.6000000000004</v>
      </c>
      <c r="H22" s="57"/>
      <c r="I22" s="57">
        <f t="shared" si="11"/>
        <v>4194.6000000000004</v>
      </c>
      <c r="J22" s="57"/>
      <c r="K22" s="57">
        <f t="shared" si="11"/>
        <v>4394.6000000000004</v>
      </c>
      <c r="L22" s="57"/>
      <c r="M22" s="57">
        <f t="shared" si="11"/>
        <v>4644.6000000000004</v>
      </c>
      <c r="N22" s="57"/>
      <c r="O22" s="33">
        <f>E22+G22+I22+K22+M22</f>
        <v>21223</v>
      </c>
      <c r="P22" s="42"/>
    </row>
    <row r="23" spans="1:43" s="34" customFormat="1" ht="26.25" customHeight="1" x14ac:dyDescent="0.25">
      <c r="A23" s="54"/>
      <c r="B23" s="55" t="s">
        <v>143</v>
      </c>
      <c r="C23" s="56"/>
      <c r="D23" s="57">
        <v>1982</v>
      </c>
      <c r="E23" s="57">
        <f>E24</f>
        <v>0</v>
      </c>
      <c r="F23" s="41"/>
      <c r="G23" s="57">
        <v>0</v>
      </c>
      <c r="H23" s="41"/>
      <c r="I23" s="57">
        <v>0</v>
      </c>
      <c r="J23" s="41"/>
      <c r="K23" s="57">
        <v>0</v>
      </c>
      <c r="L23" s="41"/>
      <c r="M23" s="57">
        <v>0</v>
      </c>
      <c r="N23" s="41"/>
      <c r="O23" s="33">
        <v>0</v>
      </c>
      <c r="P23" s="42"/>
    </row>
    <row r="24" spans="1:43" s="34" customFormat="1" ht="26.25" customHeight="1" x14ac:dyDescent="0.25">
      <c r="A24" s="58"/>
      <c r="B24" s="59" t="s">
        <v>144</v>
      </c>
      <c r="C24" s="60"/>
      <c r="D24" s="61">
        <f>416-86</f>
        <v>330</v>
      </c>
      <c r="E24" s="61"/>
      <c r="F24" s="32"/>
      <c r="G24" s="61"/>
      <c r="H24" s="32"/>
      <c r="I24" s="61"/>
      <c r="J24" s="32"/>
      <c r="K24" s="61"/>
      <c r="L24" s="32"/>
      <c r="M24" s="61"/>
      <c r="N24" s="32"/>
      <c r="O24" s="62"/>
      <c r="P24" s="30"/>
    </row>
    <row r="25" spans="1:43" s="34" customFormat="1" ht="26.25" customHeight="1" x14ac:dyDescent="0.25">
      <c r="A25" s="54"/>
      <c r="B25" s="55" t="s">
        <v>145</v>
      </c>
      <c r="C25" s="56"/>
      <c r="D25" s="57">
        <v>3286</v>
      </c>
      <c r="E25" s="61">
        <f>D25*1.1+E27</f>
        <v>3944.6000000000004</v>
      </c>
      <c r="F25" s="41"/>
      <c r="G25" s="57">
        <f>E25+G26</f>
        <v>4044.6000000000004</v>
      </c>
      <c r="H25" s="57"/>
      <c r="I25" s="57">
        <f>G25+I26</f>
        <v>4194.6000000000004</v>
      </c>
      <c r="J25" s="57"/>
      <c r="K25" s="57">
        <f>I25+K26</f>
        <v>4394.6000000000004</v>
      </c>
      <c r="L25" s="57"/>
      <c r="M25" s="57">
        <f>K25+M26</f>
        <v>4644.6000000000004</v>
      </c>
      <c r="N25" s="57"/>
      <c r="O25" s="33"/>
      <c r="P25" s="42"/>
    </row>
    <row r="26" spans="1:43" s="34" customFormat="1" ht="34.5" customHeight="1" x14ac:dyDescent="0.25">
      <c r="A26" s="58"/>
      <c r="B26" s="59" t="s">
        <v>146</v>
      </c>
      <c r="C26" s="60"/>
      <c r="D26" s="61">
        <v>286</v>
      </c>
      <c r="E26" s="61">
        <f>D26*1.1</f>
        <v>314.60000000000002</v>
      </c>
      <c r="F26" s="32"/>
      <c r="G26" s="61">
        <v>100</v>
      </c>
      <c r="H26" s="32"/>
      <c r="I26" s="61">
        <v>150</v>
      </c>
      <c r="J26" s="32"/>
      <c r="K26" s="61">
        <v>200</v>
      </c>
      <c r="L26" s="32"/>
      <c r="M26" s="61">
        <v>250</v>
      </c>
      <c r="N26" s="32"/>
      <c r="O26" s="62"/>
      <c r="P26" s="30"/>
    </row>
    <row r="27" spans="1:43" s="34" customFormat="1" ht="26.25" customHeight="1" x14ac:dyDescent="0.25">
      <c r="A27" s="58"/>
      <c r="B27" s="59" t="s">
        <v>147</v>
      </c>
      <c r="C27" s="60"/>
      <c r="D27" s="61"/>
      <c r="E27" s="61">
        <v>330</v>
      </c>
      <c r="F27" s="32"/>
      <c r="G27" s="61"/>
      <c r="H27" s="32"/>
      <c r="I27" s="61"/>
      <c r="J27" s="32"/>
      <c r="K27" s="61"/>
      <c r="L27" s="32"/>
      <c r="M27" s="61"/>
      <c r="N27" s="32"/>
      <c r="O27" s="62"/>
      <c r="P27" s="30"/>
    </row>
    <row r="28" spans="1:43" s="34" customFormat="1" ht="19.5" customHeight="1" x14ac:dyDescent="0.25">
      <c r="A28" s="23" t="s">
        <v>5</v>
      </c>
      <c r="B28" s="63" t="s">
        <v>148</v>
      </c>
      <c r="C28" s="64"/>
      <c r="D28" s="53">
        <f>D29+D33</f>
        <v>8277</v>
      </c>
      <c r="E28" s="53"/>
      <c r="F28" s="19"/>
      <c r="G28" s="53"/>
      <c r="H28" s="19"/>
      <c r="I28" s="53"/>
      <c r="J28" s="19"/>
      <c r="K28" s="53"/>
      <c r="L28" s="19"/>
      <c r="M28" s="53"/>
      <c r="N28" s="19"/>
      <c r="O28" s="20">
        <f>E28+G28+I28+K28+M28</f>
        <v>0</v>
      </c>
      <c r="P28" s="21"/>
    </row>
    <row r="29" spans="1:43" s="34" customFormat="1" ht="21.75" customHeight="1" x14ac:dyDescent="0.25">
      <c r="A29" s="23" t="s">
        <v>50</v>
      </c>
      <c r="B29" s="63" t="s">
        <v>149</v>
      </c>
      <c r="C29" s="64"/>
      <c r="D29" s="53">
        <f>D30+D31+D32</f>
        <v>6295</v>
      </c>
      <c r="E29" s="53">
        <f>E30+E31</f>
        <v>6347.6</v>
      </c>
      <c r="F29" s="19"/>
      <c r="G29" s="53">
        <f>G30+G31</f>
        <v>6672.6</v>
      </c>
      <c r="H29" s="19">
        <f t="shared" si="0"/>
        <v>5.1200453714789838E-2</v>
      </c>
      <c r="I29" s="53">
        <f>I30+I31</f>
        <v>7196.1</v>
      </c>
      <c r="J29" s="19">
        <f t="shared" si="1"/>
        <v>7.8455174894344032E-2</v>
      </c>
      <c r="K29" s="53">
        <f>K30+K31</f>
        <v>7791.2000000000007</v>
      </c>
      <c r="L29" s="19">
        <f t="shared" si="2"/>
        <v>8.2697572296104888E-2</v>
      </c>
      <c r="M29" s="53">
        <f>M30+M31</f>
        <v>8803.5</v>
      </c>
      <c r="N29" s="19">
        <f t="shared" si="3"/>
        <v>0.12992863743710842</v>
      </c>
      <c r="O29" s="20">
        <f>E29+G29+I29+K29+M29</f>
        <v>36811</v>
      </c>
      <c r="P29" s="21">
        <f>(F29+H29+J29+L29+N29)/4</f>
        <v>8.5570459585586789E-2</v>
      </c>
    </row>
    <row r="30" spans="1:43" s="34" customFormat="1" x14ac:dyDescent="0.25">
      <c r="A30" s="65">
        <v>1</v>
      </c>
      <c r="B30" s="66" t="s">
        <v>150</v>
      </c>
      <c r="C30" s="67"/>
      <c r="D30" s="57">
        <f>825+880</f>
        <v>1705</v>
      </c>
      <c r="E30" s="61">
        <f>825*1.1+100</f>
        <v>1007.5000000000001</v>
      </c>
      <c r="F30" s="19"/>
      <c r="G30" s="61">
        <f>E30*1.1</f>
        <v>1108.2500000000002</v>
      </c>
      <c r="H30" s="41">
        <f>(G30-E30)/E30</f>
        <v>0.1000000000000001</v>
      </c>
      <c r="I30" s="61">
        <f>G30*1.1</f>
        <v>1219.0750000000003</v>
      </c>
      <c r="J30" s="41">
        <f t="shared" si="1"/>
        <v>0.10000000000000002</v>
      </c>
      <c r="K30" s="61">
        <f>I30*1.1</f>
        <v>1340.9825000000003</v>
      </c>
      <c r="L30" s="41">
        <f t="shared" si="2"/>
        <v>0.1</v>
      </c>
      <c r="M30" s="61">
        <f>K30*1.1+300</f>
        <v>1775.0807500000005</v>
      </c>
      <c r="N30" s="41">
        <f t="shared" si="3"/>
        <v>0.32371656602528381</v>
      </c>
      <c r="O30" s="33">
        <f>E30+G30+I30+K30+M30</f>
        <v>6450.8882500000018</v>
      </c>
      <c r="P30" s="42">
        <f>(F30+H30+J30+L30+N30)/4</f>
        <v>0.15592914150632098</v>
      </c>
      <c r="Q30" s="93"/>
    </row>
    <row r="31" spans="1:43" x14ac:dyDescent="0.25">
      <c r="A31" s="65">
        <v>2</v>
      </c>
      <c r="B31" s="66" t="s">
        <v>151</v>
      </c>
      <c r="C31" s="67"/>
      <c r="D31" s="57">
        <f>4447+126+1</f>
        <v>4574</v>
      </c>
      <c r="E31" s="57">
        <f>E20-E30</f>
        <v>5340.1</v>
      </c>
      <c r="F31" s="68">
        <f>(E31-D31)/D31</f>
        <v>0.16749016178399659</v>
      </c>
      <c r="G31" s="57">
        <f>G20-G30</f>
        <v>5564.35</v>
      </c>
      <c r="H31" s="41">
        <f t="shared" si="0"/>
        <v>4.1993595625550079E-2</v>
      </c>
      <c r="I31" s="57">
        <f>I20-I30</f>
        <v>5977.0249999999996</v>
      </c>
      <c r="J31" s="41">
        <f t="shared" si="1"/>
        <v>7.4164098232497824E-2</v>
      </c>
      <c r="K31" s="57">
        <f>K20-K30</f>
        <v>6450.2175000000007</v>
      </c>
      <c r="L31" s="41">
        <f t="shared" si="2"/>
        <v>7.9168566301797472E-2</v>
      </c>
      <c r="M31" s="57">
        <f>M20-M30</f>
        <v>7028.419249999999</v>
      </c>
      <c r="N31" s="41">
        <f t="shared" si="3"/>
        <v>8.964065940412061E-2</v>
      </c>
      <c r="O31" s="33">
        <f>E31+G31+I31+K31+M31</f>
        <v>30360.111749999996</v>
      </c>
      <c r="P31" s="42">
        <f>(F31+H31+J31+L31+N31)/5</f>
        <v>9.049141626959252E-2</v>
      </c>
      <c r="Q31" s="94"/>
    </row>
    <row r="32" spans="1:43" s="34" customFormat="1" x14ac:dyDescent="0.25">
      <c r="A32" s="69">
        <v>3</v>
      </c>
      <c r="B32" s="67" t="s">
        <v>152</v>
      </c>
      <c r="C32" s="67"/>
      <c r="D32" s="57">
        <v>16</v>
      </c>
      <c r="E32" s="61"/>
      <c r="F32" s="70"/>
      <c r="G32" s="61"/>
      <c r="H32" s="71"/>
      <c r="I32" s="61"/>
      <c r="J32" s="71"/>
      <c r="K32" s="61"/>
      <c r="L32" s="71"/>
      <c r="M32" s="61"/>
      <c r="N32" s="71"/>
      <c r="O32" s="33"/>
      <c r="P32" s="42"/>
      <c r="Q32" s="252"/>
      <c r="R32" s="253"/>
      <c r="S32" s="253"/>
      <c r="T32" s="253"/>
      <c r="U32" s="253"/>
      <c r="V32" s="253"/>
      <c r="W32" s="72" t="s">
        <v>153</v>
      </c>
      <c r="X32" s="73"/>
      <c r="Y32" s="73"/>
      <c r="Z32" s="73"/>
      <c r="AA32" s="73"/>
      <c r="AB32" s="73"/>
      <c r="AC32" s="73"/>
      <c r="AD32" s="73"/>
      <c r="AE32" s="73"/>
      <c r="AF32" s="73"/>
      <c r="AG32" s="73"/>
      <c r="AH32" s="73"/>
      <c r="AI32" s="73"/>
      <c r="AJ32" s="73"/>
      <c r="AK32" s="73"/>
      <c r="AL32" s="73"/>
      <c r="AM32" s="73"/>
      <c r="AN32" s="73"/>
      <c r="AO32" s="73"/>
      <c r="AP32" s="73"/>
      <c r="AQ32" s="73"/>
    </row>
    <row r="33" spans="1:22" s="22" customFormat="1" ht="22.5" customHeight="1" x14ac:dyDescent="0.25">
      <c r="A33" s="74" t="s">
        <v>41</v>
      </c>
      <c r="B33" s="75" t="s">
        <v>154</v>
      </c>
      <c r="C33" s="75"/>
      <c r="D33" s="53">
        <f>D34+D35+D36</f>
        <v>1982</v>
      </c>
      <c r="E33" s="53">
        <f t="shared" ref="E33:N33" si="12">E34+E35+E36</f>
        <v>0</v>
      </c>
      <c r="F33" s="53">
        <f t="shared" si="12"/>
        <v>0</v>
      </c>
      <c r="G33" s="53">
        <f t="shared" si="12"/>
        <v>0</v>
      </c>
      <c r="H33" s="53">
        <f t="shared" si="12"/>
        <v>0</v>
      </c>
      <c r="I33" s="53">
        <f t="shared" si="12"/>
        <v>0</v>
      </c>
      <c r="J33" s="53">
        <f t="shared" si="12"/>
        <v>0</v>
      </c>
      <c r="K33" s="53">
        <f t="shared" si="12"/>
        <v>0</v>
      </c>
      <c r="L33" s="53">
        <f t="shared" si="12"/>
        <v>0</v>
      </c>
      <c r="M33" s="53">
        <f t="shared" si="12"/>
        <v>0</v>
      </c>
      <c r="N33" s="53">
        <f t="shared" si="12"/>
        <v>0</v>
      </c>
      <c r="O33" s="20"/>
      <c r="P33" s="76"/>
      <c r="Q33" s="252"/>
      <c r="R33" s="253"/>
      <c r="S33" s="253"/>
      <c r="T33" s="253"/>
      <c r="U33" s="253"/>
      <c r="V33" s="253"/>
    </row>
    <row r="34" spans="1:22" x14ac:dyDescent="0.25">
      <c r="A34" s="69">
        <v>1</v>
      </c>
      <c r="B34" s="67" t="s">
        <v>155</v>
      </c>
      <c r="C34" s="67"/>
      <c r="D34" s="57">
        <v>756</v>
      </c>
      <c r="E34" s="57"/>
      <c r="F34" s="77"/>
      <c r="G34" s="57"/>
      <c r="H34" s="57"/>
      <c r="I34" s="57"/>
      <c r="J34" s="57"/>
      <c r="K34" s="57"/>
      <c r="L34" s="77"/>
      <c r="M34" s="57"/>
      <c r="N34" s="57"/>
      <c r="O34" s="33"/>
      <c r="P34" s="78"/>
      <c r="Q34" s="252"/>
      <c r="R34" s="253"/>
      <c r="S34" s="253"/>
      <c r="T34" s="253"/>
      <c r="U34" s="253"/>
      <c r="V34" s="253"/>
    </row>
    <row r="35" spans="1:22" x14ac:dyDescent="0.25">
      <c r="A35" s="69">
        <v>2</v>
      </c>
      <c r="B35" s="67" t="s">
        <v>156</v>
      </c>
      <c r="C35" s="67"/>
      <c r="D35" s="57">
        <v>661</v>
      </c>
      <c r="E35" s="57"/>
      <c r="F35" s="77"/>
      <c r="G35" s="57"/>
      <c r="H35" s="57"/>
      <c r="I35" s="57"/>
      <c r="J35" s="57"/>
      <c r="K35" s="57"/>
      <c r="L35" s="77"/>
      <c r="M35" s="57"/>
      <c r="N35" s="57"/>
      <c r="O35" s="33"/>
      <c r="P35" s="78"/>
      <c r="Q35" s="252"/>
      <c r="R35" s="253"/>
      <c r="S35" s="253"/>
      <c r="T35" s="253"/>
      <c r="U35" s="253"/>
      <c r="V35" s="253"/>
    </row>
    <row r="36" spans="1:22" ht="31.5" x14ac:dyDescent="0.25">
      <c r="A36" s="79">
        <v>3</v>
      </c>
      <c r="B36" s="80" t="s">
        <v>157</v>
      </c>
      <c r="C36" s="67"/>
      <c r="D36" s="57">
        <v>565</v>
      </c>
      <c r="E36" s="57"/>
      <c r="F36" s="77"/>
      <c r="G36" s="57"/>
      <c r="H36" s="57"/>
      <c r="I36" s="57"/>
      <c r="J36" s="57"/>
      <c r="K36" s="57"/>
      <c r="L36" s="77"/>
      <c r="M36" s="57"/>
      <c r="N36" s="57"/>
      <c r="O36" s="33"/>
      <c r="P36" s="78"/>
      <c r="Q36" s="252"/>
      <c r="R36" s="253"/>
      <c r="S36" s="253"/>
      <c r="T36" s="253"/>
      <c r="U36" s="253"/>
      <c r="V36" s="253"/>
    </row>
    <row r="37" spans="1:22" x14ac:dyDescent="0.25">
      <c r="A37" s="81"/>
      <c r="B37" s="82"/>
      <c r="C37" s="82"/>
      <c r="D37" s="83"/>
      <c r="E37" s="83"/>
      <c r="F37" s="83"/>
      <c r="G37" s="83"/>
      <c r="H37" s="83"/>
      <c r="I37" s="83"/>
      <c r="J37" s="83"/>
      <c r="K37" s="83"/>
      <c r="L37" s="83"/>
      <c r="M37" s="83"/>
      <c r="N37" s="83"/>
      <c r="O37" s="84"/>
      <c r="P37" s="85"/>
      <c r="Q37" s="252"/>
      <c r="R37" s="253"/>
      <c r="S37" s="253"/>
      <c r="T37" s="253"/>
      <c r="U37" s="253"/>
      <c r="V37" s="253"/>
    </row>
    <row r="38" spans="1:22" ht="28.5" customHeight="1" x14ac:dyDescent="0.25">
      <c r="A38" s="86"/>
      <c r="B38" s="22"/>
      <c r="C38" s="22"/>
      <c r="M38" s="254"/>
      <c r="N38" s="254"/>
      <c r="O38" s="88"/>
    </row>
    <row r="39" spans="1:22" ht="51" customHeight="1" x14ac:dyDescent="0.25">
      <c r="B39" s="241"/>
      <c r="C39" s="241"/>
      <c r="D39" s="241"/>
      <c r="E39" s="241"/>
      <c r="F39" s="241"/>
      <c r="G39" s="241"/>
      <c r="H39" s="241"/>
      <c r="I39" s="241"/>
      <c r="J39" s="241"/>
      <c r="K39" s="241"/>
      <c r="L39" s="241"/>
      <c r="M39" s="241"/>
      <c r="N39" s="241"/>
      <c r="O39" s="90"/>
    </row>
    <row r="40" spans="1:22" ht="40.5" customHeight="1" x14ac:dyDescent="0.25">
      <c r="M40" s="242"/>
      <c r="N40" s="242"/>
      <c r="O40" s="91"/>
    </row>
  </sheetData>
  <mergeCells count="18">
    <mergeCell ref="B39:N39"/>
    <mergeCell ref="M40:N40"/>
    <mergeCell ref="M4:N4"/>
    <mergeCell ref="O4:O5"/>
    <mergeCell ref="P4:P5"/>
    <mergeCell ref="Q8:U18"/>
    <mergeCell ref="Q32:V37"/>
    <mergeCell ref="M38:N38"/>
    <mergeCell ref="A1:P1"/>
    <mergeCell ref="A2:P2"/>
    <mergeCell ref="A4:A5"/>
    <mergeCell ref="B4:B5"/>
    <mergeCell ref="C4:C5"/>
    <mergeCell ref="D4:D5"/>
    <mergeCell ref="E4:F4"/>
    <mergeCell ref="G4:H4"/>
    <mergeCell ref="I4:J4"/>
    <mergeCell ref="K4:L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Bieu 1</vt:lpstr>
      <vt:lpstr>Bieu 2</vt:lpstr>
      <vt:lpstr>Thu chi 2021_2025 </vt:lpstr>
      <vt:lpstr>Thu chi 2021_2025 (chi tiet)</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 Ha</dc:creator>
  <cp:lastModifiedBy>Admin</cp:lastModifiedBy>
  <cp:lastPrinted>2020-10-09T06:58:21Z</cp:lastPrinted>
  <dcterms:created xsi:type="dcterms:W3CDTF">2019-06-10T06:22:57Z</dcterms:created>
  <dcterms:modified xsi:type="dcterms:W3CDTF">2020-12-07T13:37:11Z</dcterms:modified>
</cp:coreProperties>
</file>