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7680" activeTab="0"/>
  </bookViews>
  <sheets>
    <sheet name="Tổng hợp" sheetId="1" r:id="rId1"/>
  </sheets>
  <definedNames>
    <definedName name="_xlnm.Print_Titles" localSheetId="0">'Tổng hợp'!$4:$5</definedName>
  </definedNames>
  <calcPr fullCalcOnLoad="1"/>
</workbook>
</file>

<file path=xl/sharedStrings.xml><?xml version="1.0" encoding="utf-8"?>
<sst xmlns="http://schemas.openxmlformats.org/spreadsheetml/2006/main" count="74" uniqueCount="24">
  <si>
    <t>Nội dung chi</t>
  </si>
  <si>
    <t>Công tác tổ chức</t>
  </si>
  <si>
    <t>Chi phí giảng viên</t>
  </si>
  <si>
    <t>Chi phí phục vụ lớp học</t>
  </si>
  <si>
    <t>-</t>
  </si>
  <si>
    <t>ĐVT: Đồng</t>
  </si>
  <si>
    <t>TT</t>
  </si>
  <si>
    <t>Tổng kinh phí</t>
  </si>
  <si>
    <t>Kinh phí dự kiến Cấp Tiểu học</t>
  </si>
  <si>
    <t>Kinh phí dự kiến cấp THCS - THPT</t>
  </si>
  <si>
    <t xml:space="preserve">Số lớp </t>
  </si>
  <si>
    <t>Số Modun</t>
  </si>
  <si>
    <t>Kinh Phí</t>
  </si>
  <si>
    <t>Kinh phí năm 2020</t>
  </si>
  <si>
    <t xml:space="preserve">Chi phí mời giảng viên trường đại học sự phạm và công tác phí </t>
  </si>
  <si>
    <t xml:space="preserve">Chi phí quản lý lớp </t>
  </si>
  <si>
    <t>Kinh phí năm 2021</t>
  </si>
  <si>
    <t>Kinh phí năm 2022</t>
  </si>
  <si>
    <t xml:space="preserve"> Kinh phí năm 2023</t>
  </si>
  <si>
    <t>Chi công tác phí học viên</t>
  </si>
  <si>
    <t>Chi mua tài khoản trực tuyến</t>
  </si>
  <si>
    <t>TỔNG CỘNG</t>
  </si>
  <si>
    <t>Chi công tác tổ chức</t>
  </si>
  <si>
    <t xml:space="preserve"> PHỤ LỤC 11 - TỔNG HỢP KINH PHÍ THỰC HIỆN BỒI DƯỠNG CBQL, GIÁO VIÊN 
THỰC HIỆN CHƯƠNG TRÌNH GIÁO DỤC PHỔ THÔNG 2018, GIAI ĐOẠN  2020-2025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</si>
</sst>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_(* #.##0.00_);_(* \(#.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0.0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 quotePrefix="1">
      <alignment horizontal="left"/>
    </xf>
    <xf numFmtId="173" fontId="50" fillId="0" borderId="11" xfId="41" applyNumberFormat="1" applyFont="1" applyBorder="1" applyAlignment="1">
      <alignment horizontal="center"/>
    </xf>
    <xf numFmtId="0" fontId="50" fillId="0" borderId="11" xfId="0" applyFont="1" applyBorder="1" applyAlignment="1" quotePrefix="1">
      <alignment/>
    </xf>
    <xf numFmtId="173" fontId="50" fillId="0" borderId="11" xfId="41" applyNumberFormat="1" applyFont="1" applyBorder="1" applyAlignment="1">
      <alignment/>
    </xf>
    <xf numFmtId="17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11" xfId="0" applyFont="1" applyBorder="1" applyAlignment="1" quotePrefix="1">
      <alignment/>
    </xf>
    <xf numFmtId="173" fontId="52" fillId="0" borderId="11" xfId="41" applyNumberFormat="1" applyFont="1" applyBorder="1" applyAlignment="1">
      <alignment horizontal="center"/>
    </xf>
    <xf numFmtId="173" fontId="49" fillId="0" borderId="0" xfId="0" applyNumberFormat="1" applyFont="1" applyAlignment="1">
      <alignment/>
    </xf>
    <xf numFmtId="0" fontId="52" fillId="0" borderId="11" xfId="0" applyFont="1" applyBorder="1" applyAlignment="1" quotePrefix="1">
      <alignment wrapText="1"/>
    </xf>
    <xf numFmtId="173" fontId="50" fillId="0" borderId="11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173" fontId="3" fillId="32" borderId="11" xfId="41" applyNumberFormat="1" applyFont="1" applyFill="1" applyBorder="1" applyAlignment="1">
      <alignment/>
    </xf>
    <xf numFmtId="173" fontId="3" fillId="0" borderId="11" xfId="41" applyNumberFormat="1" applyFont="1" applyBorder="1" applyAlignment="1">
      <alignment/>
    </xf>
    <xf numFmtId="173" fontId="4" fillId="0" borderId="11" xfId="41" applyNumberFormat="1" applyFont="1" applyBorder="1" applyAlignment="1">
      <alignment/>
    </xf>
    <xf numFmtId="173" fontId="4" fillId="0" borderId="11" xfId="0" applyNumberFormat="1" applyFont="1" applyBorder="1" applyAlignment="1">
      <alignment horizontal="center"/>
    </xf>
    <xf numFmtId="0" fontId="52" fillId="0" borderId="11" xfId="0" applyFont="1" applyBorder="1" applyAlignment="1" quotePrefix="1">
      <alignment horizontal="right"/>
    </xf>
    <xf numFmtId="0" fontId="50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" xfId="43"/>
    <cellStyle name="Comma 2" xfId="44"/>
    <cellStyle name="Comma 3" xfId="45"/>
    <cellStyle name="Comma 3 3" xfId="46"/>
    <cellStyle name="Comma 4" xfId="47"/>
    <cellStyle name="Currency" xfId="48"/>
    <cellStyle name="Currency [0]" xfId="49"/>
    <cellStyle name="Check Cel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 2 2" xfId="63"/>
    <cellStyle name="Normal 3" xfId="64"/>
    <cellStyle name="Normal 4" xfId="65"/>
    <cellStyle name="Normal 9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9"/>
  <sheetViews>
    <sheetView tabSelected="1" zoomScalePageLayoutView="0" workbookViewId="0" topLeftCell="A25">
      <selection activeCell="A1" sqref="A1:I2"/>
    </sheetView>
  </sheetViews>
  <sheetFormatPr defaultColWidth="9.140625" defaultRowHeight="12.75"/>
  <cols>
    <col min="1" max="1" width="3.8515625" style="2" customWidth="1"/>
    <col min="2" max="2" width="49.8515625" style="2" customWidth="1"/>
    <col min="3" max="3" width="16.57421875" style="2" customWidth="1"/>
    <col min="4" max="4" width="8.7109375" style="2" customWidth="1"/>
    <col min="5" max="5" width="10.421875" style="2" customWidth="1"/>
    <col min="6" max="6" width="17.00390625" style="2" customWidth="1"/>
    <col min="7" max="7" width="7.57421875" style="2" customWidth="1"/>
    <col min="8" max="8" width="8.8515625" style="2" customWidth="1"/>
    <col min="9" max="9" width="17.8515625" style="2" customWidth="1"/>
    <col min="10" max="10" width="15.7109375" style="2" bestFit="1" customWidth="1"/>
    <col min="11" max="11" width="10.140625" style="2" bestFit="1" customWidth="1"/>
    <col min="12" max="16384" width="9.140625" style="2" customWidth="1"/>
  </cols>
  <sheetData>
    <row r="1" spans="1:20" ht="18.7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9" ht="15.75">
      <c r="A2" s="27"/>
      <c r="B2" s="27"/>
      <c r="C2" s="27"/>
      <c r="D2" s="27"/>
      <c r="E2" s="27"/>
      <c r="F2" s="27"/>
      <c r="G2" s="27"/>
      <c r="H2" s="27"/>
      <c r="I2" s="27"/>
    </row>
    <row r="3" spans="7:9" ht="15.75">
      <c r="G3" s="28" t="s">
        <v>5</v>
      </c>
      <c r="H3" s="28"/>
      <c r="I3" s="28"/>
    </row>
    <row r="4" spans="1:9" s="3" customFormat="1" ht="15.75">
      <c r="A4" s="29" t="s">
        <v>6</v>
      </c>
      <c r="B4" s="29" t="s">
        <v>0</v>
      </c>
      <c r="C4" s="29" t="s">
        <v>7</v>
      </c>
      <c r="D4" s="31" t="s">
        <v>8</v>
      </c>
      <c r="E4" s="32"/>
      <c r="F4" s="33"/>
      <c r="G4" s="31" t="s">
        <v>9</v>
      </c>
      <c r="H4" s="32"/>
      <c r="I4" s="33"/>
    </row>
    <row r="5" spans="1:9" s="3" customFormat="1" ht="15.75">
      <c r="A5" s="30"/>
      <c r="B5" s="30"/>
      <c r="C5" s="30"/>
      <c r="D5" s="4" t="s">
        <v>10</v>
      </c>
      <c r="E5" s="4" t="s">
        <v>11</v>
      </c>
      <c r="F5" s="5" t="s">
        <v>12</v>
      </c>
      <c r="G5" s="4" t="s">
        <v>10</v>
      </c>
      <c r="H5" s="4" t="s">
        <v>11</v>
      </c>
      <c r="I5" s="5" t="s">
        <v>12</v>
      </c>
    </row>
    <row r="6" spans="1:10" s="11" customFormat="1" ht="15.75">
      <c r="A6" s="24">
        <v>1</v>
      </c>
      <c r="B6" s="6" t="s">
        <v>13</v>
      </c>
      <c r="C6" s="7">
        <f>SUM(C7:C13)</f>
        <v>3264380200</v>
      </c>
      <c r="D6" s="8">
        <v>53</v>
      </c>
      <c r="E6" s="8">
        <v>1</v>
      </c>
      <c r="F6" s="7">
        <f>SUM(F7:F13)</f>
        <v>2213245000</v>
      </c>
      <c r="G6" s="7">
        <v>21</v>
      </c>
      <c r="H6" s="7">
        <v>1</v>
      </c>
      <c r="I6" s="9">
        <f>SUM(I7:I13)</f>
        <v>1051135200</v>
      </c>
      <c r="J6" s="10"/>
    </row>
    <row r="7" spans="1:10" ht="15.75">
      <c r="A7" s="23" t="s">
        <v>4</v>
      </c>
      <c r="B7" s="12" t="s">
        <v>22</v>
      </c>
      <c r="C7" s="13">
        <f>F7+I7</f>
        <v>666000000</v>
      </c>
      <c r="D7" s="12"/>
      <c r="E7" s="12"/>
      <c r="F7" s="13">
        <f>9000000*53</f>
        <v>477000000</v>
      </c>
      <c r="G7" s="13"/>
      <c r="H7" s="13"/>
      <c r="I7" s="19">
        <f>9000000*21*1</f>
        <v>189000000</v>
      </c>
      <c r="J7" s="14"/>
    </row>
    <row r="8" spans="1:10" ht="15.75">
      <c r="A8" s="23" t="s">
        <v>4</v>
      </c>
      <c r="B8" s="12" t="s">
        <v>2</v>
      </c>
      <c r="C8" s="13">
        <f aca="true" t="shared" si="0" ref="C8:C37">F8+I8</f>
        <v>788884000</v>
      </c>
      <c r="D8" s="12"/>
      <c r="E8" s="12"/>
      <c r="F8" s="13">
        <f>10370000*53</f>
        <v>549610000</v>
      </c>
      <c r="G8" s="13"/>
      <c r="H8" s="13"/>
      <c r="I8" s="19">
        <f>11394000*21*1</f>
        <v>239274000</v>
      </c>
      <c r="J8" s="14"/>
    </row>
    <row r="9" spans="1:10" ht="15.75">
      <c r="A9" s="23" t="s">
        <v>4</v>
      </c>
      <c r="B9" s="12" t="s">
        <v>3</v>
      </c>
      <c r="C9" s="13">
        <f t="shared" si="0"/>
        <v>720090000</v>
      </c>
      <c r="D9" s="12"/>
      <c r="E9" s="12"/>
      <c r="F9" s="13">
        <f>10080000*53</f>
        <v>534240000</v>
      </c>
      <c r="G9" s="13"/>
      <c r="H9" s="13"/>
      <c r="I9" s="19">
        <f>8850000*21*1</f>
        <v>185850000</v>
      </c>
      <c r="J9" s="14"/>
    </row>
    <row r="10" spans="1:10" ht="15.75">
      <c r="A10" s="23" t="s">
        <v>4</v>
      </c>
      <c r="B10" s="15" t="s">
        <v>14</v>
      </c>
      <c r="C10" s="13">
        <f t="shared" si="0"/>
        <v>460150000</v>
      </c>
      <c r="D10" s="15"/>
      <c r="E10" s="15"/>
      <c r="F10" s="13">
        <f>7850000*53</f>
        <v>416050000</v>
      </c>
      <c r="G10" s="13"/>
      <c r="H10" s="13"/>
      <c r="I10" s="19">
        <f>2100000*21*1</f>
        <v>44100000</v>
      </c>
      <c r="J10" s="14"/>
    </row>
    <row r="11" spans="1:10" ht="15.75">
      <c r="A11" s="23" t="s">
        <v>4</v>
      </c>
      <c r="B11" s="12" t="s">
        <v>15</v>
      </c>
      <c r="C11" s="13">
        <f>F11+I11</f>
        <v>131756200</v>
      </c>
      <c r="D11" s="12"/>
      <c r="E11" s="12"/>
      <c r="F11" s="13">
        <f>1865000*53</f>
        <v>98845000</v>
      </c>
      <c r="G11" s="13"/>
      <c r="H11" s="13"/>
      <c r="I11" s="19">
        <f>1567200*21*1</f>
        <v>32911200</v>
      </c>
      <c r="J11" s="14"/>
    </row>
    <row r="12" spans="1:10" ht="15.75">
      <c r="A12" s="23" t="s">
        <v>4</v>
      </c>
      <c r="B12" s="12" t="s">
        <v>19</v>
      </c>
      <c r="C12" s="13">
        <f>F12+I12</f>
        <v>497500000</v>
      </c>
      <c r="D12" s="12"/>
      <c r="E12" s="12"/>
      <c r="F12" s="13">
        <v>137500000</v>
      </c>
      <c r="G12" s="13"/>
      <c r="H12" s="13"/>
      <c r="I12" s="20">
        <v>360000000</v>
      </c>
      <c r="J12" s="14"/>
    </row>
    <row r="13" spans="1:10" ht="15.75">
      <c r="A13" s="23" t="s">
        <v>4</v>
      </c>
      <c r="B13" s="12" t="s">
        <v>20</v>
      </c>
      <c r="C13" s="13">
        <f t="shared" si="0"/>
        <v>0</v>
      </c>
      <c r="D13" s="12"/>
      <c r="E13" s="12"/>
      <c r="F13" s="13">
        <v>0</v>
      </c>
      <c r="G13" s="13"/>
      <c r="H13" s="13"/>
      <c r="I13" s="20">
        <v>0</v>
      </c>
      <c r="J13" s="14"/>
    </row>
    <row r="14" spans="1:10" s="11" customFormat="1" ht="15.75">
      <c r="A14" s="24">
        <v>2</v>
      </c>
      <c r="B14" s="6" t="s">
        <v>16</v>
      </c>
      <c r="C14" s="7">
        <f>SUM(C15:C21)</f>
        <v>27407650000</v>
      </c>
      <c r="D14" s="8">
        <v>57</v>
      </c>
      <c r="E14" s="8">
        <v>3</v>
      </c>
      <c r="F14" s="7">
        <f>SUM(F15:F21)</f>
        <v>7807795250</v>
      </c>
      <c r="G14" s="7">
        <f>43+71</f>
        <v>114</v>
      </c>
      <c r="H14" s="7">
        <v>3</v>
      </c>
      <c r="I14" s="21">
        <f>SUM(I15:I21)</f>
        <v>19599854750</v>
      </c>
      <c r="J14" s="10"/>
    </row>
    <row r="15" spans="1:9" ht="15.75">
      <c r="A15" s="23" t="s">
        <v>4</v>
      </c>
      <c r="B15" s="12" t="s">
        <v>1</v>
      </c>
      <c r="C15" s="13">
        <f t="shared" si="0"/>
        <v>3843000000</v>
      </c>
      <c r="D15" s="8"/>
      <c r="E15" s="8"/>
      <c r="F15" s="13">
        <f>9000000*57*3</f>
        <v>1539000000</v>
      </c>
      <c r="G15" s="13"/>
      <c r="H15" s="13"/>
      <c r="I15" s="19">
        <f>9000000*43*1+9000000*71*3</f>
        <v>2304000000</v>
      </c>
    </row>
    <row r="16" spans="1:9" ht="15.75">
      <c r="A16" s="23" t="s">
        <v>4</v>
      </c>
      <c r="B16" s="12" t="s">
        <v>2</v>
      </c>
      <c r="C16" s="13">
        <f t="shared" si="0"/>
        <v>4685910000</v>
      </c>
      <c r="D16" s="8"/>
      <c r="E16" s="8"/>
      <c r="F16" s="13">
        <f>10315000*57*3</f>
        <v>1763865000</v>
      </c>
      <c r="G16" s="13"/>
      <c r="H16" s="13"/>
      <c r="I16" s="19">
        <f>11460000*43*1+11405000*71*3</f>
        <v>2922045000</v>
      </c>
    </row>
    <row r="17" spans="1:9" ht="15.75">
      <c r="A17" s="23" t="s">
        <v>4</v>
      </c>
      <c r="B17" s="12" t="s">
        <v>3</v>
      </c>
      <c r="C17" s="13">
        <f t="shared" si="0"/>
        <v>3896940000</v>
      </c>
      <c r="D17" s="8"/>
      <c r="E17" s="8"/>
      <c r="F17" s="13">
        <f>9540000*57*3</f>
        <v>1631340000</v>
      </c>
      <c r="G17" s="13"/>
      <c r="H17" s="13"/>
      <c r="I17" s="19">
        <f>8850000*43*1+8850000*71*3</f>
        <v>2265600000</v>
      </c>
    </row>
    <row r="18" spans="1:9" ht="15.75">
      <c r="A18" s="23" t="s">
        <v>4</v>
      </c>
      <c r="B18" s="15" t="s">
        <v>14</v>
      </c>
      <c r="C18" s="13">
        <f t="shared" si="0"/>
        <v>972150000</v>
      </c>
      <c r="D18" s="8"/>
      <c r="E18" s="8"/>
      <c r="F18" s="13">
        <f>3600000*57*3</f>
        <v>615600000</v>
      </c>
      <c r="G18" s="13"/>
      <c r="H18" s="13"/>
      <c r="I18" s="19">
        <f>2100000*43*1+1250000*71*3</f>
        <v>356550000</v>
      </c>
    </row>
    <row r="19" spans="1:9" ht="15.75">
      <c r="A19" s="23" t="s">
        <v>4</v>
      </c>
      <c r="B19" s="12" t="s">
        <v>15</v>
      </c>
      <c r="C19" s="13">
        <f>F19+I19</f>
        <v>669900000</v>
      </c>
      <c r="D19" s="8"/>
      <c r="E19" s="8"/>
      <c r="F19" s="13">
        <f>1622750*57*3</f>
        <v>277490250</v>
      </c>
      <c r="G19" s="13"/>
      <c r="H19" s="13"/>
      <c r="I19" s="19">
        <f>1570500*43*1+1525250*71*3</f>
        <v>392409750</v>
      </c>
    </row>
    <row r="20" spans="1:10" ht="15.75">
      <c r="A20" s="23" t="s">
        <v>4</v>
      </c>
      <c r="B20" s="12" t="s">
        <v>19</v>
      </c>
      <c r="C20" s="13">
        <f>F20+I20</f>
        <v>9771250000</v>
      </c>
      <c r="D20" s="12"/>
      <c r="E20" s="12"/>
      <c r="F20" s="13">
        <v>137500000</v>
      </c>
      <c r="G20" s="13"/>
      <c r="H20" s="13"/>
      <c r="I20" s="20">
        <f>3211250000*3</f>
        <v>9633750000</v>
      </c>
      <c r="J20" s="14"/>
    </row>
    <row r="21" spans="1:9" ht="15.75">
      <c r="A21" s="23" t="s">
        <v>4</v>
      </c>
      <c r="B21" s="12" t="s">
        <v>20</v>
      </c>
      <c r="C21" s="13">
        <f t="shared" si="0"/>
        <v>3568500000</v>
      </c>
      <c r="D21" s="8"/>
      <c r="E21" s="8"/>
      <c r="F21" s="13">
        <f>3686*500000</f>
        <v>1843000000</v>
      </c>
      <c r="G21" s="13"/>
      <c r="H21" s="13"/>
      <c r="I21" s="20">
        <f>3451*500000</f>
        <v>1725500000</v>
      </c>
    </row>
    <row r="22" spans="1:9" s="11" customFormat="1" ht="15.75">
      <c r="A22" s="24">
        <v>3</v>
      </c>
      <c r="B22" s="8" t="s">
        <v>17</v>
      </c>
      <c r="C22" s="7">
        <f>SUM(C23:C29)</f>
        <v>24912188500</v>
      </c>
      <c r="D22" s="8">
        <v>57</v>
      </c>
      <c r="E22" s="8">
        <v>3</v>
      </c>
      <c r="F22" s="7">
        <f>SUM(F23:F29)</f>
        <v>6730495250</v>
      </c>
      <c r="G22" s="7">
        <v>71</v>
      </c>
      <c r="H22" s="7">
        <v>3</v>
      </c>
      <c r="I22" s="21">
        <f>SUM(I23:I29)</f>
        <v>18181693250</v>
      </c>
    </row>
    <row r="23" spans="1:9" ht="15.75">
      <c r="A23" s="23" t="s">
        <v>4</v>
      </c>
      <c r="B23" s="12" t="s">
        <v>1</v>
      </c>
      <c r="C23" s="13">
        <f t="shared" si="0"/>
        <v>3456000000</v>
      </c>
      <c r="D23" s="12"/>
      <c r="E23" s="12"/>
      <c r="F23" s="13">
        <f>9000000*57*3</f>
        <v>1539000000</v>
      </c>
      <c r="G23" s="13"/>
      <c r="H23" s="13"/>
      <c r="I23" s="19">
        <f>9000000*71*3</f>
        <v>1917000000</v>
      </c>
    </row>
    <row r="24" spans="1:9" ht="15.75">
      <c r="A24" s="23" t="s">
        <v>4</v>
      </c>
      <c r="B24" s="12" t="s">
        <v>2</v>
      </c>
      <c r="C24" s="13">
        <f t="shared" si="0"/>
        <v>3167130000</v>
      </c>
      <c r="D24" s="12"/>
      <c r="E24" s="12"/>
      <c r="F24" s="13">
        <f>4315000*57*3</f>
        <v>737865000</v>
      </c>
      <c r="G24" s="13"/>
      <c r="H24" s="13"/>
      <c r="I24" s="19">
        <f>11405000*71*3</f>
        <v>2429265000</v>
      </c>
    </row>
    <row r="25" spans="1:9" ht="15.75">
      <c r="A25" s="23" t="s">
        <v>4</v>
      </c>
      <c r="B25" s="12" t="s">
        <v>3</v>
      </c>
      <c r="C25" s="13">
        <f t="shared" si="0"/>
        <v>3516390000</v>
      </c>
      <c r="D25" s="12"/>
      <c r="E25" s="12"/>
      <c r="F25" s="13">
        <f>9540000*57*3</f>
        <v>1631340000</v>
      </c>
      <c r="G25" s="13"/>
      <c r="H25" s="13"/>
      <c r="I25" s="19">
        <f>8850000*71*3</f>
        <v>1885050000</v>
      </c>
    </row>
    <row r="26" spans="1:9" ht="15.75">
      <c r="A26" s="23" t="s">
        <v>4</v>
      </c>
      <c r="B26" s="15" t="s">
        <v>14</v>
      </c>
      <c r="C26" s="13">
        <f t="shared" si="0"/>
        <v>881850000</v>
      </c>
      <c r="D26" s="12"/>
      <c r="E26" s="12"/>
      <c r="F26" s="13">
        <f>3600000*57*3</f>
        <v>615600000</v>
      </c>
      <c r="G26" s="13"/>
      <c r="H26" s="13"/>
      <c r="I26" s="19">
        <f>1250000*71*3</f>
        <v>266250000</v>
      </c>
    </row>
    <row r="27" spans="1:9" ht="15.75">
      <c r="A27" s="23" t="s">
        <v>4</v>
      </c>
      <c r="B27" s="12" t="s">
        <v>15</v>
      </c>
      <c r="C27" s="13">
        <f>F27+I27</f>
        <v>551068500</v>
      </c>
      <c r="D27" s="12"/>
      <c r="E27" s="12"/>
      <c r="F27" s="13">
        <f>1322750*57*3</f>
        <v>226190250</v>
      </c>
      <c r="G27" s="13"/>
      <c r="H27" s="13"/>
      <c r="I27" s="19">
        <f>1525250*71*3</f>
        <v>324878250</v>
      </c>
    </row>
    <row r="28" spans="1:10" ht="15.75">
      <c r="A28" s="23" t="s">
        <v>4</v>
      </c>
      <c r="B28" s="12" t="s">
        <v>19</v>
      </c>
      <c r="C28" s="13">
        <f>F28+I28</f>
        <v>9771250000</v>
      </c>
      <c r="D28" s="12"/>
      <c r="E28" s="12"/>
      <c r="F28" s="13">
        <v>137500000</v>
      </c>
      <c r="G28" s="13"/>
      <c r="H28" s="13"/>
      <c r="I28" s="20">
        <f>3211250000*3</f>
        <v>9633750000</v>
      </c>
      <c r="J28" s="14"/>
    </row>
    <row r="29" spans="1:9" ht="15.75">
      <c r="A29" s="23" t="s">
        <v>4</v>
      </c>
      <c r="B29" s="12" t="s">
        <v>20</v>
      </c>
      <c r="C29" s="13">
        <f t="shared" si="0"/>
        <v>3568500000</v>
      </c>
      <c r="D29" s="12"/>
      <c r="E29" s="12"/>
      <c r="F29" s="13">
        <f>3686*500000</f>
        <v>1843000000</v>
      </c>
      <c r="G29" s="13"/>
      <c r="H29" s="13"/>
      <c r="I29" s="20">
        <f>3451*500000</f>
        <v>1725500000</v>
      </c>
    </row>
    <row r="30" spans="1:9" s="11" customFormat="1" ht="15.75">
      <c r="A30" s="24">
        <v>4</v>
      </c>
      <c r="B30" s="6" t="s">
        <v>18</v>
      </c>
      <c r="C30" s="7">
        <f>SUM(C31:C37)</f>
        <v>17843459000</v>
      </c>
      <c r="D30" s="8">
        <v>57</v>
      </c>
      <c r="E30" s="8">
        <v>2</v>
      </c>
      <c r="F30" s="7">
        <f>SUM(F31:F37)</f>
        <v>5147163500</v>
      </c>
      <c r="G30" s="7">
        <v>71</v>
      </c>
      <c r="H30" s="7">
        <v>2</v>
      </c>
      <c r="I30" s="21">
        <f>SUM(I31:I37)</f>
        <v>12696295500</v>
      </c>
    </row>
    <row r="31" spans="1:9" ht="15.75">
      <c r="A31" s="23" t="s">
        <v>4</v>
      </c>
      <c r="B31" s="12" t="s">
        <v>1</v>
      </c>
      <c r="C31" s="13">
        <f t="shared" si="0"/>
        <v>2304000000</v>
      </c>
      <c r="D31" s="12"/>
      <c r="E31" s="12"/>
      <c r="F31" s="13">
        <f>9000000*57*2</f>
        <v>1026000000</v>
      </c>
      <c r="G31" s="13"/>
      <c r="H31" s="13"/>
      <c r="I31" s="19">
        <f>9000000*71*2</f>
        <v>1278000000</v>
      </c>
    </row>
    <row r="32" spans="1:9" ht="15.75">
      <c r="A32" s="23" t="s">
        <v>4</v>
      </c>
      <c r="B32" s="12" t="s">
        <v>2</v>
      </c>
      <c r="C32" s="13">
        <f t="shared" si="0"/>
        <v>2111420000</v>
      </c>
      <c r="D32" s="12"/>
      <c r="E32" s="12"/>
      <c r="F32" s="13">
        <f>4315000*57*2</f>
        <v>491910000</v>
      </c>
      <c r="G32" s="13"/>
      <c r="H32" s="13"/>
      <c r="I32" s="19">
        <f>11405000*71*2</f>
        <v>1619510000</v>
      </c>
    </row>
    <row r="33" spans="1:9" ht="15.75">
      <c r="A33" s="23" t="s">
        <v>4</v>
      </c>
      <c r="B33" s="12" t="s">
        <v>3</v>
      </c>
      <c r="C33" s="13">
        <f t="shared" si="0"/>
        <v>2344260000</v>
      </c>
      <c r="D33" s="12"/>
      <c r="E33" s="12"/>
      <c r="F33" s="13">
        <f>9540000*57*2</f>
        <v>1087560000</v>
      </c>
      <c r="G33" s="13"/>
      <c r="H33" s="13"/>
      <c r="I33" s="19">
        <f>8850000*71*2</f>
        <v>1256700000</v>
      </c>
    </row>
    <row r="34" spans="1:9" ht="15.75">
      <c r="A34" s="23" t="s">
        <v>4</v>
      </c>
      <c r="B34" s="15" t="s">
        <v>14</v>
      </c>
      <c r="C34" s="13">
        <f t="shared" si="0"/>
        <v>587900000</v>
      </c>
      <c r="D34" s="12"/>
      <c r="E34" s="12"/>
      <c r="F34" s="13">
        <f>3600000*57*2</f>
        <v>410400000</v>
      </c>
      <c r="G34" s="13"/>
      <c r="H34" s="13"/>
      <c r="I34" s="19">
        <f>1250000*71*2</f>
        <v>177500000</v>
      </c>
    </row>
    <row r="35" spans="1:9" ht="15.75">
      <c r="A35" s="23" t="s">
        <v>4</v>
      </c>
      <c r="B35" s="12" t="s">
        <v>15</v>
      </c>
      <c r="C35" s="13">
        <f>F35+I35</f>
        <v>367379000</v>
      </c>
      <c r="D35" s="12"/>
      <c r="E35" s="12"/>
      <c r="F35" s="13">
        <f>1322750*57*2</f>
        <v>150793500</v>
      </c>
      <c r="G35" s="13"/>
      <c r="H35" s="13"/>
      <c r="I35" s="19">
        <f>1525250*71*2</f>
        <v>216585500</v>
      </c>
    </row>
    <row r="36" spans="1:10" ht="15.75">
      <c r="A36" s="23" t="s">
        <v>4</v>
      </c>
      <c r="B36" s="12" t="s">
        <v>19</v>
      </c>
      <c r="C36" s="13">
        <f>F36+I36</f>
        <v>6560000000</v>
      </c>
      <c r="D36" s="12"/>
      <c r="E36" s="12"/>
      <c r="F36" s="13">
        <v>137500000</v>
      </c>
      <c r="G36" s="13"/>
      <c r="H36" s="13"/>
      <c r="I36" s="20">
        <f>3211250000*2</f>
        <v>6422500000</v>
      </c>
      <c r="J36" s="14"/>
    </row>
    <row r="37" spans="1:9" ht="15.75">
      <c r="A37" s="23" t="s">
        <v>4</v>
      </c>
      <c r="B37" s="12" t="s">
        <v>20</v>
      </c>
      <c r="C37" s="13">
        <f t="shared" si="0"/>
        <v>3568500000</v>
      </c>
      <c r="D37" s="12"/>
      <c r="E37" s="12"/>
      <c r="F37" s="13">
        <f>3686*500000</f>
        <v>1843000000</v>
      </c>
      <c r="G37" s="13"/>
      <c r="H37" s="13"/>
      <c r="I37" s="20">
        <f>3451*500000</f>
        <v>1725500000</v>
      </c>
    </row>
    <row r="38" spans="1:9" s="11" customFormat="1" ht="15.75">
      <c r="A38" s="25" t="s">
        <v>21</v>
      </c>
      <c r="B38" s="26"/>
      <c r="C38" s="16">
        <f>C30+C22+C14+C6</f>
        <v>73427677700</v>
      </c>
      <c r="D38" s="17"/>
      <c r="E38" s="17"/>
      <c r="F38" s="16">
        <f>F30+F22+F14+F6</f>
        <v>21898699000</v>
      </c>
      <c r="G38" s="16"/>
      <c r="H38" s="16"/>
      <c r="I38" s="22">
        <f>I30+I22+I14+I6</f>
        <v>51528978700</v>
      </c>
    </row>
    <row r="39" spans="1:9" ht="15.75">
      <c r="A39" s="18"/>
      <c r="B39" s="18"/>
      <c r="C39" s="18"/>
      <c r="D39" s="18"/>
      <c r="E39" s="18"/>
      <c r="F39" s="18"/>
      <c r="G39" s="18"/>
      <c r="H39" s="18"/>
      <c r="I39" s="18"/>
    </row>
  </sheetData>
  <sheetProtection/>
  <mergeCells count="8">
    <mergeCell ref="A38:B38"/>
    <mergeCell ref="A1:I2"/>
    <mergeCell ref="G3:I3"/>
    <mergeCell ref="A4:A5"/>
    <mergeCell ref="B4:B5"/>
    <mergeCell ref="C4:C5"/>
    <mergeCell ref="D4:F4"/>
    <mergeCell ref="G4:I4"/>
  </mergeCells>
  <printOptions/>
  <pageMargins left="0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2021-06-08T00:36:44Z</cp:lastPrinted>
  <dcterms:created xsi:type="dcterms:W3CDTF">1996-10-14T23:33:28Z</dcterms:created>
  <dcterms:modified xsi:type="dcterms:W3CDTF">2021-06-17T02:03:30Z</dcterms:modified>
  <cp:category/>
  <cp:version/>
  <cp:contentType/>
  <cp:contentStatus/>
</cp:coreProperties>
</file>